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tables/table133.xml" ContentType="application/vnd.openxmlformats-officedocument.spreadsheetml.table+xml"/>
  <Override PartName="/xl/tables/table134.xml" ContentType="application/vnd.openxmlformats-officedocument.spreadsheetml.table+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24226"/>
  <mc:AlternateContent xmlns:mc="http://schemas.openxmlformats.org/markup-compatibility/2006">
    <mc:Choice Requires="x15">
      <x15ac:absPath xmlns:x15ac="http://schemas.microsoft.com/office/spreadsheetml/2010/11/ac" url="C:\Users\Leo Prada\Downloads\"/>
    </mc:Choice>
  </mc:AlternateContent>
  <xr:revisionPtr revIDLastSave="0" documentId="13_ncr:1_{893C057E-671A-44BF-B62B-C3B13CBBF5AB}" xr6:coauthVersionLast="44" xr6:coauthVersionMax="44" xr10:uidLastSave="{00000000-0000-0000-0000-000000000000}"/>
  <bookViews>
    <workbookView xWindow="-120" yWindow="-120" windowWidth="20730" windowHeight="11160" tabRatio="870" xr2:uid="{00000000-000D-0000-FFFF-FFFF00000000}"/>
  </bookViews>
  <sheets>
    <sheet name="Test Case Overview" sheetId="1" r:id="rId1"/>
    <sheet name="TC1" sheetId="2" r:id="rId2"/>
    <sheet name="TC2" sheetId="4" r:id="rId3"/>
    <sheet name="TC3" sheetId="5" r:id="rId4"/>
    <sheet name="TC4" sheetId="6" r:id="rId5"/>
    <sheet name="TC5" sheetId="7" r:id="rId6"/>
    <sheet name="TC6" sheetId="8" r:id="rId7"/>
    <sheet name="TC7" sheetId="9" r:id="rId8"/>
    <sheet name="TC8" sheetId="10" r:id="rId9"/>
    <sheet name="TC9" sheetId="11" r:id="rId10"/>
    <sheet name="TC10" sheetId="12" r:id="rId11"/>
    <sheet name="TC11" sheetId="13" r:id="rId12"/>
    <sheet name="TC12" sheetId="14" r:id="rId13"/>
    <sheet name="TC13" sheetId="15" r:id="rId14"/>
    <sheet name="TC14" sheetId="16" r:id="rId15"/>
    <sheet name="TC15" sheetId="17" r:id="rId16"/>
    <sheet name="TC16" sheetId="18" r:id="rId17"/>
    <sheet name="TC17" sheetId="19" r:id="rId18"/>
    <sheet name="TC18" sheetId="20" r:id="rId19"/>
    <sheet name="TC19" sheetId="21" r:id="rId20"/>
    <sheet name="TC20" sheetId="22" r:id="rId21"/>
    <sheet name="TC21" sheetId="23" r:id="rId22"/>
    <sheet name="TC22" sheetId="24" r:id="rId23"/>
    <sheet name="TC23" sheetId="25" r:id="rId24"/>
    <sheet name="TC24" sheetId="26" r:id="rId25"/>
    <sheet name="TC25" sheetId="27" r:id="rId26"/>
    <sheet name="TC26" sheetId="28" r:id="rId27"/>
    <sheet name="TC27" sheetId="29" r:id="rId28"/>
    <sheet name="TC28" sheetId="30" r:id="rId29"/>
    <sheet name="TC29" sheetId="31" r:id="rId30"/>
    <sheet name="TC30" sheetId="32" r:id="rId31"/>
    <sheet name="TC31" sheetId="33" r:id="rId32"/>
    <sheet name="TC32" sheetId="34" r:id="rId33"/>
    <sheet name="TC33" sheetId="35" r:id="rId34"/>
    <sheet name="TC34" sheetId="36" r:id="rId35"/>
    <sheet name="TC35" sheetId="37" r:id="rId36"/>
    <sheet name="TC36" sheetId="38" r:id="rId37"/>
    <sheet name="TC37" sheetId="39" r:id="rId38"/>
    <sheet name="TC38" sheetId="40" r:id="rId39"/>
    <sheet name="TC39" sheetId="41" r:id="rId40"/>
    <sheet name="TC40" sheetId="42" r:id="rId41"/>
    <sheet name="TC41" sheetId="43" r:id="rId42"/>
    <sheet name="TC42" sheetId="44" r:id="rId43"/>
    <sheet name="TC43" sheetId="45" r:id="rId44"/>
    <sheet name="TC44" sheetId="46" r:id="rId45"/>
    <sheet name="TC45" sheetId="47" r:id="rId46"/>
    <sheet name="TC46" sheetId="48" r:id="rId47"/>
    <sheet name="TC47" sheetId="49" r:id="rId48"/>
    <sheet name="TC48" sheetId="50" r:id="rId49"/>
    <sheet name="TC49" sheetId="51" r:id="rId50"/>
    <sheet name="TC50" sheetId="52" r:id="rId51"/>
    <sheet name="TC51" sheetId="53" r:id="rId52"/>
    <sheet name="TC52" sheetId="54" r:id="rId53"/>
    <sheet name="TC53" sheetId="55" r:id="rId54"/>
    <sheet name="TC54" sheetId="56" r:id="rId55"/>
    <sheet name="TC55" sheetId="57" r:id="rId56"/>
    <sheet name="TC56" sheetId="58" r:id="rId57"/>
    <sheet name="TC57" sheetId="59" r:id="rId58"/>
    <sheet name="TC58" sheetId="60" r:id="rId59"/>
    <sheet name="TC59" sheetId="61" r:id="rId60"/>
    <sheet name="TC60" sheetId="62" r:id="rId61"/>
    <sheet name="TC61" sheetId="63" r:id="rId62"/>
    <sheet name="TC62" sheetId="64" r:id="rId63"/>
    <sheet name="TC63" sheetId="65" r:id="rId64"/>
    <sheet name="TC64" sheetId="66" r:id="rId65"/>
    <sheet name="TC65" sheetId="67" r:id="rId66"/>
    <sheet name="TC66" sheetId="68" r:id="rId67"/>
    <sheet name="TC67" sheetId="69" r:id="rId68"/>
    <sheet name="TC68" sheetId="70" r:id="rId69"/>
    <sheet name="TC69" sheetId="71" r:id="rId70"/>
    <sheet name="TC70" sheetId="72" r:id="rId71"/>
    <sheet name="TC71" sheetId="73" r:id="rId72"/>
    <sheet name="TC72" sheetId="74" r:id="rId73"/>
    <sheet name="TC73" sheetId="75" r:id="rId74"/>
    <sheet name="TC74" sheetId="76" r:id="rId75"/>
    <sheet name="TC75" sheetId="77" r:id="rId76"/>
    <sheet name="TC76" sheetId="78" r:id="rId77"/>
    <sheet name="TC77" sheetId="79" r:id="rId78"/>
    <sheet name="TC78" sheetId="80" r:id="rId79"/>
    <sheet name="TC79" sheetId="81" r:id="rId80"/>
    <sheet name="TC80" sheetId="82" r:id="rId81"/>
    <sheet name="TC81" sheetId="83" r:id="rId82"/>
    <sheet name="TC82" sheetId="84" r:id="rId83"/>
    <sheet name="TC83" sheetId="85" r:id="rId84"/>
    <sheet name="TC84" sheetId="86" r:id="rId85"/>
    <sheet name="TC85" sheetId="87" r:id="rId86"/>
    <sheet name="TC86" sheetId="88" r:id="rId87"/>
    <sheet name="TC87" sheetId="89" r:id="rId88"/>
    <sheet name="TC88" sheetId="90" r:id="rId89"/>
    <sheet name="TC89" sheetId="91" r:id="rId90"/>
    <sheet name="TC90" sheetId="92" r:id="rId91"/>
    <sheet name="TC91" sheetId="93" r:id="rId92"/>
    <sheet name="TC92" sheetId="94" r:id="rId93"/>
    <sheet name="TC93" sheetId="95" r:id="rId94"/>
    <sheet name="TC94" sheetId="96" r:id="rId95"/>
    <sheet name="TC95" sheetId="97" r:id="rId96"/>
    <sheet name="TC96" sheetId="98" r:id="rId97"/>
    <sheet name="TC97" sheetId="99" r:id="rId98"/>
    <sheet name="TC98" sheetId="100" r:id="rId99"/>
    <sheet name="TC99" sheetId="101" r:id="rId100"/>
    <sheet name="TC100" sheetId="102" r:id="rId101"/>
    <sheet name="TC101" sheetId="103" r:id="rId102"/>
    <sheet name="TC102" sheetId="104" r:id="rId103"/>
    <sheet name="TC103" sheetId="105" r:id="rId104"/>
    <sheet name="TC104" sheetId="106" r:id="rId105"/>
    <sheet name="TC105" sheetId="107" r:id="rId106"/>
    <sheet name="TC106" sheetId="108" r:id="rId107"/>
    <sheet name="TC107" sheetId="109" r:id="rId108"/>
    <sheet name="TC108" sheetId="110" r:id="rId109"/>
    <sheet name="TC109" sheetId="111" r:id="rId110"/>
    <sheet name="TC110" sheetId="112" r:id="rId111"/>
    <sheet name="TC111" sheetId="113" r:id="rId112"/>
    <sheet name="TC112" sheetId="114" r:id="rId113"/>
    <sheet name="TC113" sheetId="115" r:id="rId114"/>
    <sheet name="TC114" sheetId="116" r:id="rId115"/>
    <sheet name="TC115" sheetId="117" r:id="rId116"/>
    <sheet name="TC116" sheetId="118" r:id="rId117"/>
    <sheet name="TC117" sheetId="119" r:id="rId118"/>
    <sheet name="TC118" sheetId="120" r:id="rId119"/>
    <sheet name="TC119" sheetId="121" r:id="rId120"/>
    <sheet name="TC120" sheetId="122" r:id="rId121"/>
    <sheet name="TC121" sheetId="123" r:id="rId122"/>
    <sheet name="TC122" sheetId="124" r:id="rId123"/>
    <sheet name="TC123" sheetId="125" r:id="rId124"/>
    <sheet name="TC124" sheetId="126" r:id="rId125"/>
    <sheet name="TC125" sheetId="127" r:id="rId126"/>
    <sheet name="TC126" sheetId="128" r:id="rId127"/>
    <sheet name="TC127" sheetId="129" r:id="rId128"/>
    <sheet name="TC128" sheetId="130" r:id="rId129"/>
    <sheet name="TC129" sheetId="131" r:id="rId130"/>
    <sheet name="TC130" sheetId="132" r:id="rId131"/>
    <sheet name="TC131" sheetId="133" r:id="rId132"/>
    <sheet name="TC132" sheetId="134" r:id="rId133"/>
    <sheet name="TC133" sheetId="135" r:id="rId134"/>
    <sheet name="TC134" sheetId="136" r:id="rId135"/>
    <sheet name="TC135" sheetId="137" r:id="rId136"/>
    <sheet name="TC136" sheetId="138" r:id="rId137"/>
    <sheet name="TC137" sheetId="139" r:id="rId138"/>
    <sheet name="TC138" sheetId="140" r:id="rId139"/>
    <sheet name="TC139" sheetId="141" r:id="rId140"/>
    <sheet name="TC140" sheetId="142" r:id="rId141"/>
    <sheet name="TC141" sheetId="143" r:id="rId142"/>
    <sheet name="TC142" sheetId="144" r:id="rId143"/>
    <sheet name="TC143" sheetId="145" r:id="rId144"/>
    <sheet name="TC144" sheetId="146" r:id="rId145"/>
    <sheet name="TC145" sheetId="147" r:id="rId146"/>
    <sheet name="TC146" sheetId="148" r:id="rId147"/>
    <sheet name="TC147" sheetId="149" r:id="rId148"/>
    <sheet name="TC148" sheetId="150" r:id="rId149"/>
    <sheet name="TC149" sheetId="151" r:id="rId150"/>
    <sheet name="TC150" sheetId="152" r:id="rId151"/>
    <sheet name="TC151" sheetId="153" r:id="rId152"/>
    <sheet name="TC152" sheetId="154" r:id="rId153"/>
    <sheet name="TC153" sheetId="155" r:id="rId154"/>
    <sheet name="TC154" sheetId="156" r:id="rId155"/>
    <sheet name="TC155" sheetId="157" r:id="rId156"/>
    <sheet name="TC156" sheetId="158" r:id="rId157"/>
    <sheet name="TC157" sheetId="159" r:id="rId158"/>
    <sheet name="TC158" sheetId="160" r:id="rId159"/>
    <sheet name="TC159" sheetId="161" r:id="rId160"/>
    <sheet name="TC160" sheetId="162" r:id="rId161"/>
    <sheet name="TC161" sheetId="163" r:id="rId162"/>
    <sheet name="TC162" sheetId="164" r:id="rId163"/>
    <sheet name="TC163" sheetId="165" r:id="rId164"/>
    <sheet name="TC164" sheetId="166" r:id="rId165"/>
    <sheet name="TC165" sheetId="167" r:id="rId166"/>
    <sheet name="TC166" sheetId="168" r:id="rId167"/>
    <sheet name="TC167" sheetId="169" r:id="rId168"/>
    <sheet name="TC168" sheetId="170" r:id="rId169"/>
    <sheet name="TC169" sheetId="171" r:id="rId170"/>
    <sheet name="TC170" sheetId="172" r:id="rId171"/>
    <sheet name="TC171" sheetId="173" r:id="rId172"/>
    <sheet name="TC172" sheetId="174" r:id="rId173"/>
    <sheet name="TC173" sheetId="175" r:id="rId174"/>
    <sheet name="TC174" sheetId="176" r:id="rId175"/>
    <sheet name="TC175" sheetId="177" r:id="rId176"/>
    <sheet name="TC176" sheetId="178" r:id="rId177"/>
    <sheet name="TC177" sheetId="179" r:id="rId178"/>
    <sheet name="TC178" sheetId="180" r:id="rId179"/>
    <sheet name="TC179" sheetId="181" r:id="rId180"/>
    <sheet name="TC180" sheetId="182" r:id="rId181"/>
    <sheet name="TC181" sheetId="183" r:id="rId182"/>
    <sheet name="TC182" sheetId="184" r:id="rId183"/>
    <sheet name="TC183" sheetId="185" r:id="rId184"/>
    <sheet name="TC184" sheetId="186" r:id="rId185"/>
    <sheet name="TC185" sheetId="187" r:id="rId186"/>
    <sheet name="TC186" sheetId="188" r:id="rId187"/>
    <sheet name="TC187" sheetId="189" r:id="rId188"/>
    <sheet name="TC188" sheetId="190" r:id="rId189"/>
    <sheet name="TC189" sheetId="191" r:id="rId190"/>
    <sheet name="TC190" sheetId="192" r:id="rId191"/>
    <sheet name="TC191" sheetId="193" r:id="rId192"/>
    <sheet name="TC192" sheetId="194" r:id="rId193"/>
    <sheet name="TC193" sheetId="195" r:id="rId194"/>
    <sheet name="TC194" sheetId="196" r:id="rId195"/>
    <sheet name="TC195" sheetId="197" r:id="rId196"/>
    <sheet name="TC196" sheetId="198" r:id="rId197"/>
    <sheet name="TC197" sheetId="199" r:id="rId198"/>
    <sheet name="TC198" sheetId="200" r:id="rId199"/>
    <sheet name="TC199" sheetId="201" r:id="rId200"/>
    <sheet name="TC200" sheetId="202" r:id="rId201"/>
    <sheet name="TC201" sheetId="203" r:id="rId202"/>
    <sheet name="TC202" sheetId="204" r:id="rId203"/>
    <sheet name="TC203" sheetId="205" r:id="rId204"/>
    <sheet name="PEG DICTIONARY" sheetId="3" r:id="rId205"/>
  </sheets>
  <externalReferences>
    <externalReference r:id="rId206"/>
    <externalReference r:id="rId207"/>
  </externalReferences>
  <definedNames>
    <definedName name="_xlnm._FilterDatabase" localSheetId="0" hidden="1">'Test Case Overview'!$A$4:$F$4</definedName>
    <definedName name="_Toc489362546" localSheetId="204">'PEG DICTIONARY'!$B$12</definedName>
    <definedName name="_Toc489362555" localSheetId="204">'PEG DICTIONARY'!$B$16</definedName>
    <definedName name="_Toc489362616" localSheetId="204">'PEG DICTIONARY'!$B$62</definedName>
    <definedName name="_Toc489362651" localSheetId="204">'PEG DICTIONARY'!$A$56</definedName>
    <definedName name="_Toc489362687" localSheetId="204">'PEG DICTIONARY'!$B$177</definedName>
    <definedName name="_Toc489362752" localSheetId="204">'PEG DICTIONARY'!$B$108</definedName>
    <definedName name="_Toc489362803" localSheetId="204">'PEG DICTIONARY'!$B$206</definedName>
    <definedName name="Overview_Table" localSheetId="1">'[1]Test Case Overview'!$A$6:$F$325</definedName>
    <definedName name="Overview_Table">'Test Case Overview'!$A$6:$F$141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5" i="120" l="1"/>
  <c r="C10" i="116" l="1"/>
  <c r="C28" i="112"/>
  <c r="C27" i="112"/>
  <c r="C23" i="112"/>
  <c r="E19" i="73"/>
  <c r="C20" i="73"/>
  <c r="C18" i="73"/>
  <c r="C17" i="73"/>
  <c r="C18" i="72"/>
  <c r="C15" i="72"/>
  <c r="C13" i="71"/>
  <c r="C18" i="69" l="1"/>
  <c r="C16" i="69"/>
  <c r="C16" i="43" l="1"/>
  <c r="E9" i="66"/>
  <c r="C9" i="37" l="1"/>
  <c r="C23" i="35"/>
  <c r="C21" i="34"/>
  <c r="C19" i="33"/>
  <c r="C13" i="33"/>
  <c r="C19" i="32"/>
  <c r="C19" i="29"/>
  <c r="C9" i="27" l="1"/>
  <c r="C9" i="26"/>
  <c r="C9" i="25"/>
  <c r="C20" i="58"/>
  <c r="C11" i="27"/>
  <c r="C13" i="26"/>
  <c r="C22" i="22"/>
  <c r="C17" i="22"/>
  <c r="C15" i="22"/>
  <c r="E9" i="21"/>
  <c r="C9" i="21"/>
  <c r="C21" i="95" l="1"/>
  <c r="C18" i="88" l="1"/>
  <c r="C22" i="17" l="1"/>
  <c r="C22" i="16"/>
  <c r="C21" i="16" l="1"/>
  <c r="C19" i="16"/>
  <c r="C17" i="16"/>
  <c r="C15" i="16"/>
  <c r="C13" i="16"/>
  <c r="C11" i="16"/>
  <c r="C10" i="16"/>
  <c r="C9" i="16"/>
  <c r="C19" i="15"/>
  <c r="C20" i="14"/>
  <c r="C9" i="10" l="1"/>
  <c r="C9" i="9"/>
  <c r="C9" i="8"/>
  <c r="C9" i="7"/>
  <c r="C9" i="6"/>
  <c r="C9" i="5"/>
  <c r="C9" i="4"/>
  <c r="C9" i="2" l="1"/>
  <c r="E24" i="58" l="1"/>
  <c r="C24" i="58"/>
  <c r="E23" i="58"/>
  <c r="E22" i="58"/>
  <c r="C22" i="58"/>
  <c r="E21" i="58"/>
  <c r="E20" i="58"/>
  <c r="E19" i="58"/>
  <c r="E18" i="58"/>
  <c r="C18" i="58"/>
  <c r="E17" i="58"/>
  <c r="E16" i="58"/>
  <c r="C16" i="58"/>
  <c r="E15" i="58"/>
  <c r="E14" i="58"/>
  <c r="C14" i="58"/>
  <c r="E13" i="58"/>
  <c r="E12" i="58"/>
  <c r="C12" i="58"/>
  <c r="E11" i="58"/>
  <c r="E10" i="58"/>
  <c r="C10" i="58"/>
  <c r="E9" i="58"/>
  <c r="C9" i="58"/>
  <c r="B2" i="58"/>
  <c r="B5" i="58" s="1"/>
  <c r="C11" i="205"/>
  <c r="E43" i="205"/>
  <c r="C43" i="205"/>
  <c r="E42" i="205"/>
  <c r="C42" i="205"/>
  <c r="E41" i="205"/>
  <c r="C41" i="205"/>
  <c r="E40" i="205"/>
  <c r="C40" i="205"/>
  <c r="E39" i="205"/>
  <c r="C39" i="205"/>
  <c r="E38" i="205"/>
  <c r="C38" i="205"/>
  <c r="E37" i="205"/>
  <c r="C37" i="205"/>
  <c r="E36" i="205"/>
  <c r="C36" i="205"/>
  <c r="E35" i="205"/>
  <c r="C35" i="205"/>
  <c r="E34" i="205"/>
  <c r="C34" i="205"/>
  <c r="E33" i="205"/>
  <c r="C33" i="205"/>
  <c r="E32" i="205"/>
  <c r="C32" i="205"/>
  <c r="E31" i="205"/>
  <c r="C31" i="205"/>
  <c r="E30" i="205"/>
  <c r="C30" i="205"/>
  <c r="E29" i="205"/>
  <c r="C29" i="205"/>
  <c r="E28" i="205"/>
  <c r="C28" i="205"/>
  <c r="E27" i="205"/>
  <c r="C27" i="205"/>
  <c r="E26" i="205"/>
  <c r="C26" i="205"/>
  <c r="E25" i="205"/>
  <c r="C25" i="205"/>
  <c r="E24" i="205"/>
  <c r="E23" i="205"/>
  <c r="C23" i="205"/>
  <c r="E22" i="205"/>
  <c r="C22" i="205"/>
  <c r="E21" i="205"/>
  <c r="C21" i="205"/>
  <c r="E20" i="205"/>
  <c r="C20" i="205"/>
  <c r="E19" i="205"/>
  <c r="C19" i="205"/>
  <c r="E18" i="205"/>
  <c r="C18" i="205"/>
  <c r="E17" i="205"/>
  <c r="C17" i="205"/>
  <c r="E16" i="205"/>
  <c r="C16" i="205"/>
  <c r="E15" i="205"/>
  <c r="C15" i="205"/>
  <c r="E14" i="205"/>
  <c r="C14" i="205"/>
  <c r="E13" i="205"/>
  <c r="C13" i="205"/>
  <c r="E12" i="205"/>
  <c r="C12" i="205"/>
  <c r="E11" i="205"/>
  <c r="E10" i="205"/>
  <c r="C10" i="205"/>
  <c r="E9" i="205"/>
  <c r="C9" i="205"/>
  <c r="B2" i="205"/>
  <c r="B5" i="205" s="1"/>
  <c r="E43" i="204"/>
  <c r="C43" i="204"/>
  <c r="E42" i="204"/>
  <c r="C42" i="204"/>
  <c r="E41" i="204"/>
  <c r="C41" i="204"/>
  <c r="E40" i="204"/>
  <c r="C40" i="204"/>
  <c r="E39" i="204"/>
  <c r="C39" i="204"/>
  <c r="E38" i="204"/>
  <c r="C38" i="204"/>
  <c r="E37" i="204"/>
  <c r="C37" i="204"/>
  <c r="E36" i="204"/>
  <c r="C36" i="204"/>
  <c r="E35" i="204"/>
  <c r="C35" i="204"/>
  <c r="E34" i="204"/>
  <c r="C34" i="204"/>
  <c r="E33" i="204"/>
  <c r="C33" i="204"/>
  <c r="E32" i="204"/>
  <c r="C32" i="204"/>
  <c r="E31" i="204"/>
  <c r="C31" i="204"/>
  <c r="E30" i="204"/>
  <c r="C30" i="204"/>
  <c r="E29" i="204"/>
  <c r="C29" i="204"/>
  <c r="E28" i="204"/>
  <c r="C28" i="204"/>
  <c r="E27" i="204"/>
  <c r="C27" i="204"/>
  <c r="E26" i="204"/>
  <c r="C26" i="204"/>
  <c r="E25" i="204"/>
  <c r="C25" i="204"/>
  <c r="E24" i="204"/>
  <c r="C24" i="204"/>
  <c r="E23" i="204"/>
  <c r="C23" i="204"/>
  <c r="E22" i="204"/>
  <c r="C22" i="204"/>
  <c r="E21" i="204"/>
  <c r="C21" i="204"/>
  <c r="E20" i="204"/>
  <c r="C20" i="204"/>
  <c r="E19" i="204"/>
  <c r="C19" i="204"/>
  <c r="E18" i="204"/>
  <c r="C18" i="204"/>
  <c r="E17" i="204"/>
  <c r="C17" i="204"/>
  <c r="E16" i="204"/>
  <c r="C16" i="204"/>
  <c r="E15" i="204"/>
  <c r="C15" i="204"/>
  <c r="E14" i="204"/>
  <c r="C14" i="204"/>
  <c r="E13" i="204"/>
  <c r="C13" i="204"/>
  <c r="E12" i="204"/>
  <c r="C12" i="204"/>
  <c r="E11" i="204"/>
  <c r="C11" i="204"/>
  <c r="E10" i="204"/>
  <c r="C10" i="204"/>
  <c r="E9" i="204"/>
  <c r="C9" i="204"/>
  <c r="B2" i="204"/>
  <c r="B4" i="204" s="1"/>
  <c r="B3" i="58" l="1"/>
  <c r="B4" i="58"/>
  <c r="B3" i="205"/>
  <c r="B4" i="205"/>
  <c r="B5" i="204"/>
  <c r="B3" i="204"/>
  <c r="E43" i="203"/>
  <c r="C43" i="203"/>
  <c r="E42" i="203"/>
  <c r="C42" i="203"/>
  <c r="E41" i="203"/>
  <c r="C41" i="203"/>
  <c r="E40" i="203"/>
  <c r="C40" i="203"/>
  <c r="E39" i="203"/>
  <c r="C39" i="203"/>
  <c r="E38" i="203"/>
  <c r="C38" i="203"/>
  <c r="E37" i="203"/>
  <c r="C37" i="203"/>
  <c r="E36" i="203"/>
  <c r="C36" i="203"/>
  <c r="E35" i="203"/>
  <c r="C35" i="203"/>
  <c r="E34" i="203"/>
  <c r="C34" i="203"/>
  <c r="E33" i="203"/>
  <c r="C33" i="203"/>
  <c r="E32" i="203"/>
  <c r="C32" i="203"/>
  <c r="E31" i="203"/>
  <c r="C31" i="203"/>
  <c r="E30" i="203"/>
  <c r="C30" i="203"/>
  <c r="E29" i="203"/>
  <c r="C29" i="203"/>
  <c r="E28" i="203"/>
  <c r="C28" i="203"/>
  <c r="E27" i="203"/>
  <c r="C27" i="203"/>
  <c r="E26" i="203"/>
  <c r="C26" i="203"/>
  <c r="E25" i="203"/>
  <c r="C25" i="203"/>
  <c r="E24" i="203"/>
  <c r="C24" i="203"/>
  <c r="E23" i="203"/>
  <c r="C23" i="203"/>
  <c r="E22" i="203"/>
  <c r="C22" i="203"/>
  <c r="E21" i="203"/>
  <c r="C21" i="203"/>
  <c r="E20" i="203"/>
  <c r="C20" i="203"/>
  <c r="E19" i="203"/>
  <c r="C19" i="203"/>
  <c r="E18" i="203"/>
  <c r="C18" i="203"/>
  <c r="E17" i="203"/>
  <c r="C17" i="203"/>
  <c r="E16" i="203"/>
  <c r="C16" i="203"/>
  <c r="E15" i="203"/>
  <c r="C15" i="203"/>
  <c r="E14" i="203"/>
  <c r="C14" i="203"/>
  <c r="E13" i="203"/>
  <c r="C13" i="203"/>
  <c r="E12" i="203"/>
  <c r="C12" i="203"/>
  <c r="E11" i="203"/>
  <c r="C11" i="203"/>
  <c r="E10" i="203"/>
  <c r="C10" i="203"/>
  <c r="E9" i="203"/>
  <c r="C9" i="203"/>
  <c r="B2" i="203"/>
  <c r="B3" i="203" s="1"/>
  <c r="E43" i="202"/>
  <c r="C43" i="202"/>
  <c r="E42" i="202"/>
  <c r="C42" i="202"/>
  <c r="E41" i="202"/>
  <c r="C41" i="202"/>
  <c r="E40" i="202"/>
  <c r="C40" i="202"/>
  <c r="E39" i="202"/>
  <c r="C39" i="202"/>
  <c r="E38" i="202"/>
  <c r="C38" i="202"/>
  <c r="E37" i="202"/>
  <c r="C37" i="202"/>
  <c r="E36" i="202"/>
  <c r="C36" i="202"/>
  <c r="E35" i="202"/>
  <c r="C35" i="202"/>
  <c r="E34" i="202"/>
  <c r="C34" i="202"/>
  <c r="E33" i="202"/>
  <c r="C33" i="202"/>
  <c r="E32" i="202"/>
  <c r="C32" i="202"/>
  <c r="E31" i="202"/>
  <c r="C31" i="202"/>
  <c r="E30" i="202"/>
  <c r="C30" i="202"/>
  <c r="E29" i="202"/>
  <c r="C29" i="202"/>
  <c r="E28" i="202"/>
  <c r="C28" i="202"/>
  <c r="E27" i="202"/>
  <c r="C27" i="202"/>
  <c r="E26" i="202"/>
  <c r="C26" i="202"/>
  <c r="E25" i="202"/>
  <c r="C25" i="202"/>
  <c r="E24" i="202"/>
  <c r="C24" i="202"/>
  <c r="E23" i="202"/>
  <c r="C23" i="202"/>
  <c r="E22" i="202"/>
  <c r="C22" i="202"/>
  <c r="E21" i="202"/>
  <c r="C21" i="202"/>
  <c r="E20" i="202"/>
  <c r="C20" i="202"/>
  <c r="E19" i="202"/>
  <c r="C19" i="202"/>
  <c r="E18" i="202"/>
  <c r="C18" i="202"/>
  <c r="E17" i="202"/>
  <c r="C17" i="202"/>
  <c r="E16" i="202"/>
  <c r="C16" i="202"/>
  <c r="E15" i="202"/>
  <c r="C15" i="202"/>
  <c r="E14" i="202"/>
  <c r="C14" i="202"/>
  <c r="E13" i="202"/>
  <c r="C13" i="202"/>
  <c r="E12" i="202"/>
  <c r="C12" i="202"/>
  <c r="E11" i="202"/>
  <c r="C11" i="202"/>
  <c r="E10" i="202"/>
  <c r="C10" i="202"/>
  <c r="E9" i="202"/>
  <c r="C9" i="202"/>
  <c r="B2" i="202"/>
  <c r="B3" i="202" s="1"/>
  <c r="E43" i="201"/>
  <c r="C43" i="201"/>
  <c r="E42" i="201"/>
  <c r="C42" i="201"/>
  <c r="E41" i="201"/>
  <c r="C41" i="201"/>
  <c r="E40" i="201"/>
  <c r="C40" i="201"/>
  <c r="E39" i="201"/>
  <c r="C39" i="201"/>
  <c r="E38" i="201"/>
  <c r="C38" i="201"/>
  <c r="E37" i="201"/>
  <c r="C37" i="201"/>
  <c r="E36" i="201"/>
  <c r="C36" i="201"/>
  <c r="E35" i="201"/>
  <c r="C35" i="201"/>
  <c r="E34" i="201"/>
  <c r="C34" i="201"/>
  <c r="E33" i="201"/>
  <c r="C33" i="201"/>
  <c r="E32" i="201"/>
  <c r="C32" i="201"/>
  <c r="E31" i="201"/>
  <c r="C31" i="201"/>
  <c r="E30" i="201"/>
  <c r="C30" i="201"/>
  <c r="E29" i="201"/>
  <c r="C29" i="201"/>
  <c r="E28" i="201"/>
  <c r="C28" i="201"/>
  <c r="E27" i="201"/>
  <c r="C27" i="201"/>
  <c r="E26" i="201"/>
  <c r="C26" i="201"/>
  <c r="E25" i="201"/>
  <c r="C25" i="201"/>
  <c r="E24" i="201"/>
  <c r="C24" i="201"/>
  <c r="E23" i="201"/>
  <c r="C23" i="201"/>
  <c r="E22" i="201"/>
  <c r="C22" i="201"/>
  <c r="E21" i="201"/>
  <c r="C21" i="201"/>
  <c r="E20" i="201"/>
  <c r="C20" i="201"/>
  <c r="E19" i="201"/>
  <c r="C19" i="201"/>
  <c r="E18" i="201"/>
  <c r="C18" i="201"/>
  <c r="E17" i="201"/>
  <c r="C17" i="201"/>
  <c r="E16" i="201"/>
  <c r="C16" i="201"/>
  <c r="E15" i="201"/>
  <c r="C15" i="201"/>
  <c r="E14" i="201"/>
  <c r="C14" i="201"/>
  <c r="E13" i="201"/>
  <c r="C13" i="201"/>
  <c r="E12" i="201"/>
  <c r="C12" i="201"/>
  <c r="E11" i="201"/>
  <c r="C11" i="201"/>
  <c r="E10" i="201"/>
  <c r="C10" i="201"/>
  <c r="E9" i="201"/>
  <c r="C9" i="201"/>
  <c r="B2" i="201"/>
  <c r="B3" i="201" s="1"/>
  <c r="E43" i="200"/>
  <c r="C43" i="200"/>
  <c r="E42" i="200"/>
  <c r="C42" i="200"/>
  <c r="E41" i="200"/>
  <c r="C41" i="200"/>
  <c r="E40" i="200"/>
  <c r="C40" i="200"/>
  <c r="E39" i="200"/>
  <c r="C39" i="200"/>
  <c r="E38" i="200"/>
  <c r="C38" i="200"/>
  <c r="E37" i="200"/>
  <c r="C37" i="200"/>
  <c r="E36" i="200"/>
  <c r="C36" i="200"/>
  <c r="E35" i="200"/>
  <c r="C35" i="200"/>
  <c r="E34" i="200"/>
  <c r="C34" i="200"/>
  <c r="E33" i="200"/>
  <c r="C33" i="200"/>
  <c r="E32" i="200"/>
  <c r="C32" i="200"/>
  <c r="E31" i="200"/>
  <c r="C31" i="200"/>
  <c r="E30" i="200"/>
  <c r="C30" i="200"/>
  <c r="E29" i="200"/>
  <c r="C29" i="200"/>
  <c r="E28" i="200"/>
  <c r="C28" i="200"/>
  <c r="E27" i="200"/>
  <c r="C27" i="200"/>
  <c r="E26" i="200"/>
  <c r="C26" i="200"/>
  <c r="E25" i="200"/>
  <c r="C25" i="200"/>
  <c r="E24" i="200"/>
  <c r="C24" i="200"/>
  <c r="E23" i="200"/>
  <c r="C23" i="200"/>
  <c r="E22" i="200"/>
  <c r="C22" i="200"/>
  <c r="E21" i="200"/>
  <c r="C21" i="200"/>
  <c r="E20" i="200"/>
  <c r="C20" i="200"/>
  <c r="E19" i="200"/>
  <c r="C19" i="200"/>
  <c r="E18" i="200"/>
  <c r="C18" i="200"/>
  <c r="E17" i="200"/>
  <c r="C17" i="200"/>
  <c r="E16" i="200"/>
  <c r="C16" i="200"/>
  <c r="E15" i="200"/>
  <c r="C15" i="200"/>
  <c r="E14" i="200"/>
  <c r="C14" i="200"/>
  <c r="E13" i="200"/>
  <c r="C13" i="200"/>
  <c r="E12" i="200"/>
  <c r="C12" i="200"/>
  <c r="E11" i="200"/>
  <c r="C11" i="200"/>
  <c r="E10" i="200"/>
  <c r="C10" i="200"/>
  <c r="E9" i="200"/>
  <c r="C9" i="200"/>
  <c r="B2" i="200"/>
  <c r="B5" i="200" s="1"/>
  <c r="E43" i="199"/>
  <c r="C43" i="199"/>
  <c r="E42" i="199"/>
  <c r="C42" i="199"/>
  <c r="E41" i="199"/>
  <c r="C41" i="199"/>
  <c r="E40" i="199"/>
  <c r="C40" i="199"/>
  <c r="E39" i="199"/>
  <c r="C39" i="199"/>
  <c r="E38" i="199"/>
  <c r="C38" i="199"/>
  <c r="E37" i="199"/>
  <c r="C37" i="199"/>
  <c r="E36" i="199"/>
  <c r="C36" i="199"/>
  <c r="E35" i="199"/>
  <c r="C35" i="199"/>
  <c r="E34" i="199"/>
  <c r="C34" i="199"/>
  <c r="E33" i="199"/>
  <c r="C33" i="199"/>
  <c r="E32" i="199"/>
  <c r="C32" i="199"/>
  <c r="E31" i="199"/>
  <c r="C31" i="199"/>
  <c r="E30" i="199"/>
  <c r="C30" i="199"/>
  <c r="E29" i="199"/>
  <c r="C29" i="199"/>
  <c r="E28" i="199"/>
  <c r="C28" i="199"/>
  <c r="E27" i="199"/>
  <c r="C27" i="199"/>
  <c r="E26" i="199"/>
  <c r="C26" i="199"/>
  <c r="E25" i="199"/>
  <c r="C25" i="199"/>
  <c r="E24" i="199"/>
  <c r="C24" i="199"/>
  <c r="E23" i="199"/>
  <c r="C23" i="199"/>
  <c r="E22" i="199"/>
  <c r="C22" i="199"/>
  <c r="E21" i="199"/>
  <c r="C21" i="199"/>
  <c r="E20" i="199"/>
  <c r="C20" i="199"/>
  <c r="E19" i="199"/>
  <c r="C19" i="199"/>
  <c r="E18" i="199"/>
  <c r="C18" i="199"/>
  <c r="E17" i="199"/>
  <c r="C17" i="199"/>
  <c r="E16" i="199"/>
  <c r="C16" i="199"/>
  <c r="E15" i="199"/>
  <c r="C15" i="199"/>
  <c r="E14" i="199"/>
  <c r="C14" i="199"/>
  <c r="E13" i="199"/>
  <c r="C13" i="199"/>
  <c r="E12" i="199"/>
  <c r="C12" i="199"/>
  <c r="E11" i="199"/>
  <c r="C11" i="199"/>
  <c r="E10" i="199"/>
  <c r="C10" i="199"/>
  <c r="E9" i="199"/>
  <c r="C9" i="199"/>
  <c r="B2" i="199"/>
  <c r="B3" i="199" s="1"/>
  <c r="E43" i="198"/>
  <c r="C43" i="198"/>
  <c r="E42" i="198"/>
  <c r="C42" i="198"/>
  <c r="E41" i="198"/>
  <c r="C41" i="198"/>
  <c r="E40" i="198"/>
  <c r="C40" i="198"/>
  <c r="E39" i="198"/>
  <c r="C39" i="198"/>
  <c r="E38" i="198"/>
  <c r="C38" i="198"/>
  <c r="E37" i="198"/>
  <c r="C37" i="198"/>
  <c r="E36" i="198"/>
  <c r="C36" i="198"/>
  <c r="E35" i="198"/>
  <c r="C35" i="198"/>
  <c r="E34" i="198"/>
  <c r="C34" i="198"/>
  <c r="E33" i="198"/>
  <c r="C33" i="198"/>
  <c r="E32" i="198"/>
  <c r="C32" i="198"/>
  <c r="E31" i="198"/>
  <c r="C31" i="198"/>
  <c r="E30" i="198"/>
  <c r="C30" i="198"/>
  <c r="E29" i="198"/>
  <c r="C29" i="198"/>
  <c r="E28" i="198"/>
  <c r="C28" i="198"/>
  <c r="E27" i="198"/>
  <c r="C27" i="198"/>
  <c r="E26" i="198"/>
  <c r="C26" i="198"/>
  <c r="E25" i="198"/>
  <c r="C25" i="198"/>
  <c r="E24" i="198"/>
  <c r="C24" i="198"/>
  <c r="E23" i="198"/>
  <c r="C23" i="198"/>
  <c r="E22" i="198"/>
  <c r="C22" i="198"/>
  <c r="E21" i="198"/>
  <c r="C21" i="198"/>
  <c r="E20" i="198"/>
  <c r="C20" i="198"/>
  <c r="E19" i="198"/>
  <c r="C19" i="198"/>
  <c r="E18" i="198"/>
  <c r="C18" i="198"/>
  <c r="E17" i="198"/>
  <c r="C17" i="198"/>
  <c r="E16" i="198"/>
  <c r="C16" i="198"/>
  <c r="E15" i="198"/>
  <c r="C15" i="198"/>
  <c r="E14" i="198"/>
  <c r="C14" i="198"/>
  <c r="E13" i="198"/>
  <c r="C13" i="198"/>
  <c r="E12" i="198"/>
  <c r="C12" i="198"/>
  <c r="E11" i="198"/>
  <c r="C11" i="198"/>
  <c r="E10" i="198"/>
  <c r="C10" i="198"/>
  <c r="E9" i="198"/>
  <c r="C9" i="198"/>
  <c r="B2" i="198"/>
  <c r="B3" i="198" s="1"/>
  <c r="E43" i="197"/>
  <c r="C43" i="197"/>
  <c r="E42" i="197"/>
  <c r="C42" i="197"/>
  <c r="E41" i="197"/>
  <c r="C41" i="197"/>
  <c r="E40" i="197"/>
  <c r="C40" i="197"/>
  <c r="E39" i="197"/>
  <c r="C39" i="197"/>
  <c r="E38" i="197"/>
  <c r="C38" i="197"/>
  <c r="E37" i="197"/>
  <c r="C37" i="197"/>
  <c r="E36" i="197"/>
  <c r="C36" i="197"/>
  <c r="E35" i="197"/>
  <c r="C35" i="197"/>
  <c r="E34" i="197"/>
  <c r="C34" i="197"/>
  <c r="E33" i="197"/>
  <c r="C33" i="197"/>
  <c r="E32" i="197"/>
  <c r="C32" i="197"/>
  <c r="E31" i="197"/>
  <c r="C31" i="197"/>
  <c r="E30" i="197"/>
  <c r="C30" i="197"/>
  <c r="E29" i="197"/>
  <c r="C29" i="197"/>
  <c r="E28" i="197"/>
  <c r="C28" i="197"/>
  <c r="E27" i="197"/>
  <c r="C27" i="197"/>
  <c r="E26" i="197"/>
  <c r="C26" i="197"/>
  <c r="E25" i="197"/>
  <c r="C25" i="197"/>
  <c r="E24" i="197"/>
  <c r="C24" i="197"/>
  <c r="E23" i="197"/>
  <c r="C23" i="197"/>
  <c r="E22" i="197"/>
  <c r="C22" i="197"/>
  <c r="E21" i="197"/>
  <c r="C21" i="197"/>
  <c r="E20" i="197"/>
  <c r="C20" i="197"/>
  <c r="E19" i="197"/>
  <c r="C19" i="197"/>
  <c r="E18" i="197"/>
  <c r="C18" i="197"/>
  <c r="E17" i="197"/>
  <c r="C17" i="197"/>
  <c r="E16" i="197"/>
  <c r="C16" i="197"/>
  <c r="E15" i="197"/>
  <c r="C15" i="197"/>
  <c r="E14" i="197"/>
  <c r="C14" i="197"/>
  <c r="E13" i="197"/>
  <c r="C13" i="197"/>
  <c r="E12" i="197"/>
  <c r="C12" i="197"/>
  <c r="E11" i="197"/>
  <c r="C11" i="197"/>
  <c r="E10" i="197"/>
  <c r="C10" i="197"/>
  <c r="E9" i="197"/>
  <c r="C9" i="197"/>
  <c r="B2" i="197"/>
  <c r="B3" i="197" s="1"/>
  <c r="E43" i="196"/>
  <c r="C43" i="196"/>
  <c r="E42" i="196"/>
  <c r="C42" i="196"/>
  <c r="E41" i="196"/>
  <c r="C41" i="196"/>
  <c r="E40" i="196"/>
  <c r="C40" i="196"/>
  <c r="E39" i="196"/>
  <c r="C39" i="196"/>
  <c r="E38" i="196"/>
  <c r="C38" i="196"/>
  <c r="E37" i="196"/>
  <c r="C37" i="196"/>
  <c r="E36" i="196"/>
  <c r="C36" i="196"/>
  <c r="E35" i="196"/>
  <c r="C35" i="196"/>
  <c r="E34" i="196"/>
  <c r="C34" i="196"/>
  <c r="E33" i="196"/>
  <c r="C33" i="196"/>
  <c r="E32" i="196"/>
  <c r="C32" i="196"/>
  <c r="E31" i="196"/>
  <c r="C31" i="196"/>
  <c r="E30" i="196"/>
  <c r="C30" i="196"/>
  <c r="E29" i="196"/>
  <c r="C29" i="196"/>
  <c r="E28" i="196"/>
  <c r="C28" i="196"/>
  <c r="E27" i="196"/>
  <c r="C27" i="196"/>
  <c r="E26" i="196"/>
  <c r="C26" i="196"/>
  <c r="E25" i="196"/>
  <c r="C25" i="196"/>
  <c r="E24" i="196"/>
  <c r="C24" i="196"/>
  <c r="E23" i="196"/>
  <c r="C23" i="196"/>
  <c r="E22" i="196"/>
  <c r="C22" i="196"/>
  <c r="E21" i="196"/>
  <c r="C21" i="196"/>
  <c r="E20" i="196"/>
  <c r="C20" i="196"/>
  <c r="E19" i="196"/>
  <c r="C19" i="196"/>
  <c r="E18" i="196"/>
  <c r="C18" i="196"/>
  <c r="E17" i="196"/>
  <c r="C17" i="196"/>
  <c r="E16" i="196"/>
  <c r="C16" i="196"/>
  <c r="E15" i="196"/>
  <c r="C15" i="196"/>
  <c r="E14" i="196"/>
  <c r="C14" i="196"/>
  <c r="E13" i="196"/>
  <c r="C13" i="196"/>
  <c r="E12" i="196"/>
  <c r="C12" i="196"/>
  <c r="E11" i="196"/>
  <c r="C11" i="196"/>
  <c r="E10" i="196"/>
  <c r="C10" i="196"/>
  <c r="E9" i="196"/>
  <c r="C9" i="196"/>
  <c r="B2" i="196"/>
  <c r="B3" i="196" s="1"/>
  <c r="E43" i="195"/>
  <c r="C43" i="195"/>
  <c r="E42" i="195"/>
  <c r="C42" i="195"/>
  <c r="E41" i="195"/>
  <c r="C41" i="195"/>
  <c r="E40" i="195"/>
  <c r="C40" i="195"/>
  <c r="E39" i="195"/>
  <c r="C39" i="195"/>
  <c r="E38" i="195"/>
  <c r="C38" i="195"/>
  <c r="E37" i="195"/>
  <c r="C37" i="195"/>
  <c r="E36" i="195"/>
  <c r="C36" i="195"/>
  <c r="E35" i="195"/>
  <c r="C35" i="195"/>
  <c r="E34" i="195"/>
  <c r="C34" i="195"/>
  <c r="E33" i="195"/>
  <c r="C33" i="195"/>
  <c r="E32" i="195"/>
  <c r="C32" i="195"/>
  <c r="E31" i="195"/>
  <c r="C31" i="195"/>
  <c r="E30" i="195"/>
  <c r="C30" i="195"/>
  <c r="E29" i="195"/>
  <c r="C29" i="195"/>
  <c r="E28" i="195"/>
  <c r="C28" i="195"/>
  <c r="E27" i="195"/>
  <c r="C27" i="195"/>
  <c r="E26" i="195"/>
  <c r="C26" i="195"/>
  <c r="E25" i="195"/>
  <c r="C25" i="195"/>
  <c r="E24" i="195"/>
  <c r="C24" i="195"/>
  <c r="E23" i="195"/>
  <c r="C23" i="195"/>
  <c r="E22" i="195"/>
  <c r="C22" i="195"/>
  <c r="E21" i="195"/>
  <c r="C21" i="195"/>
  <c r="E20" i="195"/>
  <c r="C20" i="195"/>
  <c r="E19" i="195"/>
  <c r="C19" i="195"/>
  <c r="E18" i="195"/>
  <c r="C18" i="195"/>
  <c r="E17" i="195"/>
  <c r="C17" i="195"/>
  <c r="E16" i="195"/>
  <c r="C16" i="195"/>
  <c r="E15" i="195"/>
  <c r="C15" i="195"/>
  <c r="E14" i="195"/>
  <c r="C14" i="195"/>
  <c r="E13" i="195"/>
  <c r="C13" i="195"/>
  <c r="E12" i="195"/>
  <c r="C12" i="195"/>
  <c r="E11" i="195"/>
  <c r="C11" i="195"/>
  <c r="E10" i="195"/>
  <c r="C10" i="195"/>
  <c r="E9" i="195"/>
  <c r="C9" i="195"/>
  <c r="B2" i="195"/>
  <c r="B3" i="195" s="1"/>
  <c r="E43" i="194"/>
  <c r="C43" i="194"/>
  <c r="E42" i="194"/>
  <c r="C42" i="194"/>
  <c r="E41" i="194"/>
  <c r="C41" i="194"/>
  <c r="E40" i="194"/>
  <c r="C40" i="194"/>
  <c r="E39" i="194"/>
  <c r="C39" i="194"/>
  <c r="E38" i="194"/>
  <c r="C38" i="194"/>
  <c r="E37" i="194"/>
  <c r="C37" i="194"/>
  <c r="E36" i="194"/>
  <c r="C36" i="194"/>
  <c r="E35" i="194"/>
  <c r="C35" i="194"/>
  <c r="E34" i="194"/>
  <c r="C34" i="194"/>
  <c r="E33" i="194"/>
  <c r="C33" i="194"/>
  <c r="E32" i="194"/>
  <c r="C32" i="194"/>
  <c r="E31" i="194"/>
  <c r="C31" i="194"/>
  <c r="E30" i="194"/>
  <c r="C30" i="194"/>
  <c r="E29" i="194"/>
  <c r="C29" i="194"/>
  <c r="E28" i="194"/>
  <c r="C28" i="194"/>
  <c r="E27" i="194"/>
  <c r="C27" i="194"/>
  <c r="E26" i="194"/>
  <c r="C26" i="194"/>
  <c r="E25" i="194"/>
  <c r="C25" i="194"/>
  <c r="E24" i="194"/>
  <c r="C24" i="194"/>
  <c r="E23" i="194"/>
  <c r="C23" i="194"/>
  <c r="E22" i="194"/>
  <c r="C22" i="194"/>
  <c r="E21" i="194"/>
  <c r="C21" i="194"/>
  <c r="E20" i="194"/>
  <c r="C20" i="194"/>
  <c r="E19" i="194"/>
  <c r="C19" i="194"/>
  <c r="E18" i="194"/>
  <c r="C18" i="194"/>
  <c r="E17" i="194"/>
  <c r="C17" i="194"/>
  <c r="E16" i="194"/>
  <c r="C16" i="194"/>
  <c r="E15" i="194"/>
  <c r="C15" i="194"/>
  <c r="E14" i="194"/>
  <c r="C14" i="194"/>
  <c r="E13" i="194"/>
  <c r="C13" i="194"/>
  <c r="E12" i="194"/>
  <c r="C12" i="194"/>
  <c r="E11" i="194"/>
  <c r="C11" i="194"/>
  <c r="E10" i="194"/>
  <c r="C10" i="194"/>
  <c r="E9" i="194"/>
  <c r="C9" i="194"/>
  <c r="B2" i="194"/>
  <c r="B3" i="194" s="1"/>
  <c r="E43" i="193"/>
  <c r="C43" i="193"/>
  <c r="E42" i="193"/>
  <c r="C42" i="193"/>
  <c r="E41" i="193"/>
  <c r="C41" i="193"/>
  <c r="E40" i="193"/>
  <c r="C40" i="193"/>
  <c r="E39" i="193"/>
  <c r="C39" i="193"/>
  <c r="E38" i="193"/>
  <c r="C38" i="193"/>
  <c r="E37" i="193"/>
  <c r="C37" i="193"/>
  <c r="E36" i="193"/>
  <c r="C36" i="193"/>
  <c r="E35" i="193"/>
  <c r="C35" i="193"/>
  <c r="E34" i="193"/>
  <c r="C34" i="193"/>
  <c r="E33" i="193"/>
  <c r="C33" i="193"/>
  <c r="E32" i="193"/>
  <c r="C32" i="193"/>
  <c r="E31" i="193"/>
  <c r="C31" i="193"/>
  <c r="E30" i="193"/>
  <c r="C30" i="193"/>
  <c r="E29" i="193"/>
  <c r="C29" i="193"/>
  <c r="E28" i="193"/>
  <c r="C28" i="193"/>
  <c r="E27" i="193"/>
  <c r="C27" i="193"/>
  <c r="E26" i="193"/>
  <c r="C26" i="193"/>
  <c r="E25" i="193"/>
  <c r="C25" i="193"/>
  <c r="E24" i="193"/>
  <c r="C24" i="193"/>
  <c r="E23" i="193"/>
  <c r="C23" i="193"/>
  <c r="E22" i="193"/>
  <c r="C22" i="193"/>
  <c r="E21" i="193"/>
  <c r="C21" i="193"/>
  <c r="E20" i="193"/>
  <c r="C20" i="193"/>
  <c r="E19" i="193"/>
  <c r="C19" i="193"/>
  <c r="E18" i="193"/>
  <c r="C18" i="193"/>
  <c r="E17" i="193"/>
  <c r="C17" i="193"/>
  <c r="E16" i="193"/>
  <c r="C16" i="193"/>
  <c r="E15" i="193"/>
  <c r="C15" i="193"/>
  <c r="E14" i="193"/>
  <c r="C14" i="193"/>
  <c r="E13" i="193"/>
  <c r="C13" i="193"/>
  <c r="E12" i="193"/>
  <c r="C12" i="193"/>
  <c r="E11" i="193"/>
  <c r="C11" i="193"/>
  <c r="E10" i="193"/>
  <c r="C10" i="193"/>
  <c r="E9" i="193"/>
  <c r="C9" i="193"/>
  <c r="B2" i="193"/>
  <c r="B3" i="193" s="1"/>
  <c r="E43" i="192"/>
  <c r="C43" i="192"/>
  <c r="E42" i="192"/>
  <c r="C42" i="192"/>
  <c r="E41" i="192"/>
  <c r="C41" i="192"/>
  <c r="E40" i="192"/>
  <c r="C40" i="192"/>
  <c r="E39" i="192"/>
  <c r="C39" i="192"/>
  <c r="E38" i="192"/>
  <c r="C38" i="192"/>
  <c r="E37" i="192"/>
  <c r="C37" i="192"/>
  <c r="E36" i="192"/>
  <c r="C36" i="192"/>
  <c r="E35" i="192"/>
  <c r="C35" i="192"/>
  <c r="E34" i="192"/>
  <c r="C34" i="192"/>
  <c r="E33" i="192"/>
  <c r="C33" i="192"/>
  <c r="E32" i="192"/>
  <c r="C32" i="192"/>
  <c r="E31" i="192"/>
  <c r="C31" i="192"/>
  <c r="E30" i="192"/>
  <c r="C30" i="192"/>
  <c r="E29" i="192"/>
  <c r="C29" i="192"/>
  <c r="E28" i="192"/>
  <c r="C28" i="192"/>
  <c r="E27" i="192"/>
  <c r="C27" i="192"/>
  <c r="E26" i="192"/>
  <c r="C26" i="192"/>
  <c r="E25" i="192"/>
  <c r="C25" i="192"/>
  <c r="E24" i="192"/>
  <c r="C24" i="192"/>
  <c r="E23" i="192"/>
  <c r="C23" i="192"/>
  <c r="E22" i="192"/>
  <c r="C22" i="192"/>
  <c r="E21" i="192"/>
  <c r="C21" i="192"/>
  <c r="E20" i="192"/>
  <c r="C20" i="192"/>
  <c r="E19" i="192"/>
  <c r="C19" i="192"/>
  <c r="E18" i="192"/>
  <c r="C18" i="192"/>
  <c r="E17" i="192"/>
  <c r="C17" i="192"/>
  <c r="E16" i="192"/>
  <c r="C16" i="192"/>
  <c r="E15" i="192"/>
  <c r="C15" i="192"/>
  <c r="E14" i="192"/>
  <c r="C14" i="192"/>
  <c r="E13" i="192"/>
  <c r="C13" i="192"/>
  <c r="E12" i="192"/>
  <c r="C12" i="192"/>
  <c r="E11" i="192"/>
  <c r="C11" i="192"/>
  <c r="E10" i="192"/>
  <c r="C10" i="192"/>
  <c r="E9" i="192"/>
  <c r="C9" i="192"/>
  <c r="B2" i="192"/>
  <c r="B3" i="192" s="1"/>
  <c r="E43" i="191"/>
  <c r="C43" i="191"/>
  <c r="E42" i="191"/>
  <c r="C42" i="191"/>
  <c r="E41" i="191"/>
  <c r="C41" i="191"/>
  <c r="E40" i="191"/>
  <c r="C40" i="191"/>
  <c r="E39" i="191"/>
  <c r="C39" i="191"/>
  <c r="E38" i="191"/>
  <c r="C38" i="191"/>
  <c r="E37" i="191"/>
  <c r="C37" i="191"/>
  <c r="E36" i="191"/>
  <c r="C36" i="191"/>
  <c r="E35" i="191"/>
  <c r="C35" i="191"/>
  <c r="E34" i="191"/>
  <c r="C34" i="191"/>
  <c r="E33" i="191"/>
  <c r="C33" i="191"/>
  <c r="E32" i="191"/>
  <c r="C32" i="191"/>
  <c r="E31" i="191"/>
  <c r="C31" i="191"/>
  <c r="E30" i="191"/>
  <c r="C30" i="191"/>
  <c r="E29" i="191"/>
  <c r="C29" i="191"/>
  <c r="E28" i="191"/>
  <c r="C28" i="191"/>
  <c r="E27" i="191"/>
  <c r="C27" i="191"/>
  <c r="E26" i="191"/>
  <c r="C26" i="191"/>
  <c r="E25" i="191"/>
  <c r="C25" i="191"/>
  <c r="E24" i="191"/>
  <c r="C24" i="191"/>
  <c r="E23" i="191"/>
  <c r="C23" i="191"/>
  <c r="E22" i="191"/>
  <c r="C22" i="191"/>
  <c r="E21" i="191"/>
  <c r="C21" i="191"/>
  <c r="E20" i="191"/>
  <c r="C20" i="191"/>
  <c r="E19" i="191"/>
  <c r="C19" i="191"/>
  <c r="E18" i="191"/>
  <c r="C18" i="191"/>
  <c r="E17" i="191"/>
  <c r="C17" i="191"/>
  <c r="E16" i="191"/>
  <c r="C16" i="191"/>
  <c r="E15" i="191"/>
  <c r="C15" i="191"/>
  <c r="E14" i="191"/>
  <c r="C14" i="191"/>
  <c r="E13" i="191"/>
  <c r="C13" i="191"/>
  <c r="E12" i="191"/>
  <c r="C12" i="191"/>
  <c r="E11" i="191"/>
  <c r="C11" i="191"/>
  <c r="E10" i="191"/>
  <c r="C10" i="191"/>
  <c r="E9" i="191"/>
  <c r="C9" i="191"/>
  <c r="B2" i="191"/>
  <c r="B3" i="191" s="1"/>
  <c r="E43" i="190"/>
  <c r="C43" i="190"/>
  <c r="E42" i="190"/>
  <c r="C42" i="190"/>
  <c r="E41" i="190"/>
  <c r="C41" i="190"/>
  <c r="E40" i="190"/>
  <c r="C40" i="190"/>
  <c r="E39" i="190"/>
  <c r="C39" i="190"/>
  <c r="E38" i="190"/>
  <c r="C38" i="190"/>
  <c r="E37" i="190"/>
  <c r="C37" i="190"/>
  <c r="E36" i="190"/>
  <c r="C36" i="190"/>
  <c r="E35" i="190"/>
  <c r="C35" i="190"/>
  <c r="E34" i="190"/>
  <c r="C34" i="190"/>
  <c r="E33" i="190"/>
  <c r="C33" i="190"/>
  <c r="E32" i="190"/>
  <c r="C32" i="190"/>
  <c r="E31" i="190"/>
  <c r="C31" i="190"/>
  <c r="E30" i="190"/>
  <c r="C30" i="190"/>
  <c r="E29" i="190"/>
  <c r="C29" i="190"/>
  <c r="E28" i="190"/>
  <c r="C28" i="190"/>
  <c r="E27" i="190"/>
  <c r="C27" i="190"/>
  <c r="E26" i="190"/>
  <c r="C26" i="190"/>
  <c r="E25" i="190"/>
  <c r="C25" i="190"/>
  <c r="E24" i="190"/>
  <c r="C24" i="190"/>
  <c r="E23" i="190"/>
  <c r="C23" i="190"/>
  <c r="E22" i="190"/>
  <c r="C22" i="190"/>
  <c r="E21" i="190"/>
  <c r="C21" i="190"/>
  <c r="E20" i="190"/>
  <c r="C20" i="190"/>
  <c r="E19" i="190"/>
  <c r="C19" i="190"/>
  <c r="E18" i="190"/>
  <c r="C18" i="190"/>
  <c r="E17" i="190"/>
  <c r="C17" i="190"/>
  <c r="E16" i="190"/>
  <c r="C16" i="190"/>
  <c r="E15" i="190"/>
  <c r="C15" i="190"/>
  <c r="E14" i="190"/>
  <c r="C14" i="190"/>
  <c r="E13" i="190"/>
  <c r="C13" i="190"/>
  <c r="E12" i="190"/>
  <c r="C12" i="190"/>
  <c r="E11" i="190"/>
  <c r="C11" i="190"/>
  <c r="E10" i="190"/>
  <c r="C10" i="190"/>
  <c r="E9" i="190"/>
  <c r="C9" i="190"/>
  <c r="B2" i="190"/>
  <c r="B3" i="190" s="1"/>
  <c r="E43" i="189"/>
  <c r="C43" i="189"/>
  <c r="E42" i="189"/>
  <c r="C42" i="189"/>
  <c r="E41" i="189"/>
  <c r="C41" i="189"/>
  <c r="E40" i="189"/>
  <c r="C40" i="189"/>
  <c r="E39" i="189"/>
  <c r="C39" i="189"/>
  <c r="E38" i="189"/>
  <c r="C38" i="189"/>
  <c r="E37" i="189"/>
  <c r="C37" i="189"/>
  <c r="E36" i="189"/>
  <c r="C36" i="189"/>
  <c r="E35" i="189"/>
  <c r="C35" i="189"/>
  <c r="E34" i="189"/>
  <c r="C34" i="189"/>
  <c r="E33" i="189"/>
  <c r="C33" i="189"/>
  <c r="E32" i="189"/>
  <c r="C32" i="189"/>
  <c r="E31" i="189"/>
  <c r="C31" i="189"/>
  <c r="E30" i="189"/>
  <c r="C30" i="189"/>
  <c r="E29" i="189"/>
  <c r="C29" i="189"/>
  <c r="E28" i="189"/>
  <c r="C28" i="189"/>
  <c r="E27" i="189"/>
  <c r="C27" i="189"/>
  <c r="E26" i="189"/>
  <c r="C26" i="189"/>
  <c r="E25" i="189"/>
  <c r="C25" i="189"/>
  <c r="E24" i="189"/>
  <c r="C24" i="189"/>
  <c r="E23" i="189"/>
  <c r="C23" i="189"/>
  <c r="E22" i="189"/>
  <c r="C22" i="189"/>
  <c r="E21" i="189"/>
  <c r="C21" i="189"/>
  <c r="E20" i="189"/>
  <c r="C20" i="189"/>
  <c r="E19" i="189"/>
  <c r="C19" i="189"/>
  <c r="E18" i="189"/>
  <c r="C18" i="189"/>
  <c r="E17" i="189"/>
  <c r="C17" i="189"/>
  <c r="E16" i="189"/>
  <c r="C16" i="189"/>
  <c r="E15" i="189"/>
  <c r="C15" i="189"/>
  <c r="E14" i="189"/>
  <c r="C14" i="189"/>
  <c r="E13" i="189"/>
  <c r="C13" i="189"/>
  <c r="E12" i="189"/>
  <c r="C12" i="189"/>
  <c r="E11" i="189"/>
  <c r="C11" i="189"/>
  <c r="E10" i="189"/>
  <c r="C10" i="189"/>
  <c r="E9" i="189"/>
  <c r="C9" i="189"/>
  <c r="B2" i="189"/>
  <c r="B3" i="189" s="1"/>
  <c r="E43" i="188"/>
  <c r="C43" i="188"/>
  <c r="E42" i="188"/>
  <c r="C42" i="188"/>
  <c r="E41" i="188"/>
  <c r="C41" i="188"/>
  <c r="E40" i="188"/>
  <c r="C40" i="188"/>
  <c r="E39" i="188"/>
  <c r="C39" i="188"/>
  <c r="E38" i="188"/>
  <c r="C38" i="188"/>
  <c r="E37" i="188"/>
  <c r="C37" i="188"/>
  <c r="E36" i="188"/>
  <c r="C36" i="188"/>
  <c r="E35" i="188"/>
  <c r="C35" i="188"/>
  <c r="E34" i="188"/>
  <c r="C34" i="188"/>
  <c r="E33" i="188"/>
  <c r="C33" i="188"/>
  <c r="E32" i="188"/>
  <c r="C32" i="188"/>
  <c r="E31" i="188"/>
  <c r="C31" i="188"/>
  <c r="E30" i="188"/>
  <c r="C30" i="188"/>
  <c r="E29" i="188"/>
  <c r="C29" i="188"/>
  <c r="E28" i="188"/>
  <c r="C28" i="188"/>
  <c r="E27" i="188"/>
  <c r="C27" i="188"/>
  <c r="E26" i="188"/>
  <c r="C26" i="188"/>
  <c r="E25" i="188"/>
  <c r="C25" i="188"/>
  <c r="E24" i="188"/>
  <c r="C24" i="188"/>
  <c r="E23" i="188"/>
  <c r="C23" i="188"/>
  <c r="E22" i="188"/>
  <c r="C22" i="188"/>
  <c r="E21" i="188"/>
  <c r="C21" i="188"/>
  <c r="E20" i="188"/>
  <c r="C20" i="188"/>
  <c r="E19" i="188"/>
  <c r="C19" i="188"/>
  <c r="E18" i="188"/>
  <c r="C18" i="188"/>
  <c r="E17" i="188"/>
  <c r="C17" i="188"/>
  <c r="E16" i="188"/>
  <c r="C16" i="188"/>
  <c r="E15" i="188"/>
  <c r="C15" i="188"/>
  <c r="E14" i="188"/>
  <c r="C14" i="188"/>
  <c r="E13" i="188"/>
  <c r="C13" i="188"/>
  <c r="E12" i="188"/>
  <c r="C12" i="188"/>
  <c r="E11" i="188"/>
  <c r="C11" i="188"/>
  <c r="E10" i="188"/>
  <c r="C10" i="188"/>
  <c r="E9" i="188"/>
  <c r="C9" i="188"/>
  <c r="B2" i="188"/>
  <c r="B3" i="188" s="1"/>
  <c r="E43" i="187"/>
  <c r="C43" i="187"/>
  <c r="E42" i="187"/>
  <c r="C42" i="187"/>
  <c r="E41" i="187"/>
  <c r="C41" i="187"/>
  <c r="E40" i="187"/>
  <c r="C40" i="187"/>
  <c r="E39" i="187"/>
  <c r="C39" i="187"/>
  <c r="E38" i="187"/>
  <c r="C38" i="187"/>
  <c r="E37" i="187"/>
  <c r="C37" i="187"/>
  <c r="E36" i="187"/>
  <c r="C36" i="187"/>
  <c r="E35" i="187"/>
  <c r="C35" i="187"/>
  <c r="E34" i="187"/>
  <c r="C34" i="187"/>
  <c r="E33" i="187"/>
  <c r="C33" i="187"/>
  <c r="E32" i="187"/>
  <c r="C32" i="187"/>
  <c r="E31" i="187"/>
  <c r="C31" i="187"/>
  <c r="E30" i="187"/>
  <c r="C30" i="187"/>
  <c r="E29" i="187"/>
  <c r="C29" i="187"/>
  <c r="E28" i="187"/>
  <c r="C28" i="187"/>
  <c r="E27" i="187"/>
  <c r="C27" i="187"/>
  <c r="E26" i="187"/>
  <c r="C26" i="187"/>
  <c r="E25" i="187"/>
  <c r="C25" i="187"/>
  <c r="E24" i="187"/>
  <c r="C24" i="187"/>
  <c r="E23" i="187"/>
  <c r="C23" i="187"/>
  <c r="E22" i="187"/>
  <c r="C22" i="187"/>
  <c r="E21" i="187"/>
  <c r="C21" i="187"/>
  <c r="E20" i="187"/>
  <c r="C20" i="187"/>
  <c r="E19" i="187"/>
  <c r="C19" i="187"/>
  <c r="E18" i="187"/>
  <c r="C18" i="187"/>
  <c r="E17" i="187"/>
  <c r="C17" i="187"/>
  <c r="E16" i="187"/>
  <c r="C16" i="187"/>
  <c r="E15" i="187"/>
  <c r="C15" i="187"/>
  <c r="E14" i="187"/>
  <c r="C14" i="187"/>
  <c r="E13" i="187"/>
  <c r="C13" i="187"/>
  <c r="E12" i="187"/>
  <c r="C12" i="187"/>
  <c r="E11" i="187"/>
  <c r="C11" i="187"/>
  <c r="E10" i="187"/>
  <c r="C10" i="187"/>
  <c r="E9" i="187"/>
  <c r="C9" i="187"/>
  <c r="B2" i="187"/>
  <c r="B3" i="187" s="1"/>
  <c r="E43" i="186"/>
  <c r="C43" i="186"/>
  <c r="E42" i="186"/>
  <c r="C42" i="186"/>
  <c r="E41" i="186"/>
  <c r="C41" i="186"/>
  <c r="E40" i="186"/>
  <c r="C40" i="186"/>
  <c r="E39" i="186"/>
  <c r="C39" i="186"/>
  <c r="E38" i="186"/>
  <c r="C38" i="186"/>
  <c r="E37" i="186"/>
  <c r="C37" i="186"/>
  <c r="E36" i="186"/>
  <c r="C36" i="186"/>
  <c r="E35" i="186"/>
  <c r="C35" i="186"/>
  <c r="E34" i="186"/>
  <c r="C34" i="186"/>
  <c r="E33" i="186"/>
  <c r="C33" i="186"/>
  <c r="E32" i="186"/>
  <c r="C32" i="186"/>
  <c r="E31" i="186"/>
  <c r="C31" i="186"/>
  <c r="E30" i="186"/>
  <c r="C30" i="186"/>
  <c r="E29" i="186"/>
  <c r="C29" i="186"/>
  <c r="E28" i="186"/>
  <c r="C28" i="186"/>
  <c r="E27" i="186"/>
  <c r="C27" i="186"/>
  <c r="E26" i="186"/>
  <c r="C26" i="186"/>
  <c r="E25" i="186"/>
  <c r="C25" i="186"/>
  <c r="E24" i="186"/>
  <c r="C24" i="186"/>
  <c r="E23" i="186"/>
  <c r="C23" i="186"/>
  <c r="E22" i="186"/>
  <c r="C22" i="186"/>
  <c r="E21" i="186"/>
  <c r="C21" i="186"/>
  <c r="E20" i="186"/>
  <c r="C20" i="186"/>
  <c r="E19" i="186"/>
  <c r="C19" i="186"/>
  <c r="E18" i="186"/>
  <c r="C18" i="186"/>
  <c r="E17" i="186"/>
  <c r="C17" i="186"/>
  <c r="E16" i="186"/>
  <c r="C16" i="186"/>
  <c r="E15" i="186"/>
  <c r="C15" i="186"/>
  <c r="E14" i="186"/>
  <c r="C14" i="186"/>
  <c r="E13" i="186"/>
  <c r="C13" i="186"/>
  <c r="E12" i="186"/>
  <c r="C12" i="186"/>
  <c r="E11" i="186"/>
  <c r="C11" i="186"/>
  <c r="E10" i="186"/>
  <c r="C10" i="186"/>
  <c r="E9" i="186"/>
  <c r="C9" i="186"/>
  <c r="B2" i="186"/>
  <c r="B3" i="186" s="1"/>
  <c r="E43" i="185"/>
  <c r="C43" i="185"/>
  <c r="E42" i="185"/>
  <c r="C42" i="185"/>
  <c r="E41" i="185"/>
  <c r="C41" i="185"/>
  <c r="E40" i="185"/>
  <c r="C40" i="185"/>
  <c r="E39" i="185"/>
  <c r="C39" i="185"/>
  <c r="E38" i="185"/>
  <c r="C38" i="185"/>
  <c r="E37" i="185"/>
  <c r="C37" i="185"/>
  <c r="E36" i="185"/>
  <c r="C36" i="185"/>
  <c r="E35" i="185"/>
  <c r="C35" i="185"/>
  <c r="E34" i="185"/>
  <c r="C34" i="185"/>
  <c r="E33" i="185"/>
  <c r="C33" i="185"/>
  <c r="E32" i="185"/>
  <c r="C32" i="185"/>
  <c r="E31" i="185"/>
  <c r="C31" i="185"/>
  <c r="E30" i="185"/>
  <c r="C30" i="185"/>
  <c r="E29" i="185"/>
  <c r="C29" i="185"/>
  <c r="E28" i="185"/>
  <c r="C28" i="185"/>
  <c r="E27" i="185"/>
  <c r="C27" i="185"/>
  <c r="E26" i="185"/>
  <c r="C26" i="185"/>
  <c r="E25" i="185"/>
  <c r="C25" i="185"/>
  <c r="E24" i="185"/>
  <c r="C24" i="185"/>
  <c r="E23" i="185"/>
  <c r="C23" i="185"/>
  <c r="E22" i="185"/>
  <c r="C22" i="185"/>
  <c r="E21" i="185"/>
  <c r="C21" i="185"/>
  <c r="E20" i="185"/>
  <c r="C20" i="185"/>
  <c r="E19" i="185"/>
  <c r="C19" i="185"/>
  <c r="E18" i="185"/>
  <c r="C18" i="185"/>
  <c r="E17" i="185"/>
  <c r="C17" i="185"/>
  <c r="E16" i="185"/>
  <c r="C16" i="185"/>
  <c r="E15" i="185"/>
  <c r="C15" i="185"/>
  <c r="E14" i="185"/>
  <c r="C14" i="185"/>
  <c r="E13" i="185"/>
  <c r="C13" i="185"/>
  <c r="E12" i="185"/>
  <c r="C12" i="185"/>
  <c r="E11" i="185"/>
  <c r="C11" i="185"/>
  <c r="E10" i="185"/>
  <c r="C10" i="185"/>
  <c r="E9" i="185"/>
  <c r="C9" i="185"/>
  <c r="B2" i="185"/>
  <c r="B3" i="185" s="1"/>
  <c r="E43" i="184"/>
  <c r="C43" i="184"/>
  <c r="E42" i="184"/>
  <c r="C42" i="184"/>
  <c r="E41" i="184"/>
  <c r="C41" i="184"/>
  <c r="E40" i="184"/>
  <c r="C40" i="184"/>
  <c r="E39" i="184"/>
  <c r="C39" i="184"/>
  <c r="E38" i="184"/>
  <c r="C38" i="184"/>
  <c r="E37" i="184"/>
  <c r="C37" i="184"/>
  <c r="E36" i="184"/>
  <c r="C36" i="184"/>
  <c r="E35" i="184"/>
  <c r="C35" i="184"/>
  <c r="E34" i="184"/>
  <c r="C34" i="184"/>
  <c r="E33" i="184"/>
  <c r="C33" i="184"/>
  <c r="E32" i="184"/>
  <c r="C32" i="184"/>
  <c r="E31" i="184"/>
  <c r="C31" i="184"/>
  <c r="E30" i="184"/>
  <c r="C30" i="184"/>
  <c r="E29" i="184"/>
  <c r="C29" i="184"/>
  <c r="E28" i="184"/>
  <c r="C28" i="184"/>
  <c r="E27" i="184"/>
  <c r="C27" i="184"/>
  <c r="E26" i="184"/>
  <c r="C26" i="184"/>
  <c r="E25" i="184"/>
  <c r="C25" i="184"/>
  <c r="E24" i="184"/>
  <c r="C24" i="184"/>
  <c r="E23" i="184"/>
  <c r="C23" i="184"/>
  <c r="E22" i="184"/>
  <c r="C22" i="184"/>
  <c r="E21" i="184"/>
  <c r="C21" i="184"/>
  <c r="E20" i="184"/>
  <c r="C20" i="184"/>
  <c r="E19" i="184"/>
  <c r="C19" i="184"/>
  <c r="E18" i="184"/>
  <c r="C18" i="184"/>
  <c r="E17" i="184"/>
  <c r="C17" i="184"/>
  <c r="E16" i="184"/>
  <c r="C16" i="184"/>
  <c r="E15" i="184"/>
  <c r="C15" i="184"/>
  <c r="E14" i="184"/>
  <c r="C14" i="184"/>
  <c r="E13" i="184"/>
  <c r="C13" i="184"/>
  <c r="E12" i="184"/>
  <c r="C12" i="184"/>
  <c r="E11" i="184"/>
  <c r="C11" i="184"/>
  <c r="E10" i="184"/>
  <c r="C10" i="184"/>
  <c r="E9" i="184"/>
  <c r="C9" i="184"/>
  <c r="B2" i="184"/>
  <c r="B3" i="184" s="1"/>
  <c r="E43" i="183"/>
  <c r="C43" i="183"/>
  <c r="E42" i="183"/>
  <c r="C42" i="183"/>
  <c r="E41" i="183"/>
  <c r="C41" i="183"/>
  <c r="E40" i="183"/>
  <c r="C40" i="183"/>
  <c r="E39" i="183"/>
  <c r="C39" i="183"/>
  <c r="E38" i="183"/>
  <c r="C38" i="183"/>
  <c r="E37" i="183"/>
  <c r="C37" i="183"/>
  <c r="E36" i="183"/>
  <c r="C36" i="183"/>
  <c r="E35" i="183"/>
  <c r="C35" i="183"/>
  <c r="E34" i="183"/>
  <c r="C34" i="183"/>
  <c r="E33" i="183"/>
  <c r="C33" i="183"/>
  <c r="E32" i="183"/>
  <c r="C32" i="183"/>
  <c r="E31" i="183"/>
  <c r="C31" i="183"/>
  <c r="E30" i="183"/>
  <c r="C30" i="183"/>
  <c r="E29" i="183"/>
  <c r="C29" i="183"/>
  <c r="E28" i="183"/>
  <c r="C28" i="183"/>
  <c r="E27" i="183"/>
  <c r="C27" i="183"/>
  <c r="E26" i="183"/>
  <c r="C26" i="183"/>
  <c r="E25" i="183"/>
  <c r="C25" i="183"/>
  <c r="E24" i="183"/>
  <c r="C24" i="183"/>
  <c r="E23" i="183"/>
  <c r="C23" i="183"/>
  <c r="E22" i="183"/>
  <c r="C22" i="183"/>
  <c r="E21" i="183"/>
  <c r="C21" i="183"/>
  <c r="E20" i="183"/>
  <c r="C20" i="183"/>
  <c r="E19" i="183"/>
  <c r="C19" i="183"/>
  <c r="E18" i="183"/>
  <c r="C18" i="183"/>
  <c r="E17" i="183"/>
  <c r="C17" i="183"/>
  <c r="E16" i="183"/>
  <c r="C16" i="183"/>
  <c r="E15" i="183"/>
  <c r="C15" i="183"/>
  <c r="E14" i="183"/>
  <c r="C14" i="183"/>
  <c r="E13" i="183"/>
  <c r="C13" i="183"/>
  <c r="E12" i="183"/>
  <c r="C12" i="183"/>
  <c r="E11" i="183"/>
  <c r="C11" i="183"/>
  <c r="E10" i="183"/>
  <c r="C10" i="183"/>
  <c r="E9" i="183"/>
  <c r="C9" i="183"/>
  <c r="B2" i="183"/>
  <c r="B3" i="183" s="1"/>
  <c r="E43" i="182"/>
  <c r="C43" i="182"/>
  <c r="E42" i="182"/>
  <c r="C42" i="182"/>
  <c r="E41" i="182"/>
  <c r="C41" i="182"/>
  <c r="E40" i="182"/>
  <c r="C40" i="182"/>
  <c r="E39" i="182"/>
  <c r="C39" i="182"/>
  <c r="E38" i="182"/>
  <c r="C38" i="182"/>
  <c r="E37" i="182"/>
  <c r="C37" i="182"/>
  <c r="E36" i="182"/>
  <c r="C36" i="182"/>
  <c r="E35" i="182"/>
  <c r="C35" i="182"/>
  <c r="E34" i="182"/>
  <c r="C34" i="182"/>
  <c r="E33" i="182"/>
  <c r="C33" i="182"/>
  <c r="E32" i="182"/>
  <c r="C32" i="182"/>
  <c r="E31" i="182"/>
  <c r="C31" i="182"/>
  <c r="E30" i="182"/>
  <c r="C30" i="182"/>
  <c r="E29" i="182"/>
  <c r="C29" i="182"/>
  <c r="E28" i="182"/>
  <c r="C28" i="182"/>
  <c r="E27" i="182"/>
  <c r="C27" i="182"/>
  <c r="E26" i="182"/>
  <c r="C26" i="182"/>
  <c r="E25" i="182"/>
  <c r="C25" i="182"/>
  <c r="E24" i="182"/>
  <c r="C24" i="182"/>
  <c r="E23" i="182"/>
  <c r="C23" i="182"/>
  <c r="E22" i="182"/>
  <c r="C22" i="182"/>
  <c r="E21" i="182"/>
  <c r="C21" i="182"/>
  <c r="E20" i="182"/>
  <c r="C20" i="182"/>
  <c r="E19" i="182"/>
  <c r="C19" i="182"/>
  <c r="E18" i="182"/>
  <c r="C18" i="182"/>
  <c r="E17" i="182"/>
  <c r="C17" i="182"/>
  <c r="E16" i="182"/>
  <c r="C16" i="182"/>
  <c r="E15" i="182"/>
  <c r="C15" i="182"/>
  <c r="E14" i="182"/>
  <c r="C14" i="182"/>
  <c r="E13" i="182"/>
  <c r="C13" i="182"/>
  <c r="E12" i="182"/>
  <c r="C12" i="182"/>
  <c r="E11" i="182"/>
  <c r="C11" i="182"/>
  <c r="E10" i="182"/>
  <c r="C10" i="182"/>
  <c r="E9" i="182"/>
  <c r="C9" i="182"/>
  <c r="B2" i="182"/>
  <c r="B3" i="182" s="1"/>
  <c r="E43" i="181"/>
  <c r="C43" i="181"/>
  <c r="E42" i="181"/>
  <c r="C42" i="181"/>
  <c r="E41" i="181"/>
  <c r="C41" i="181"/>
  <c r="E40" i="181"/>
  <c r="C40" i="181"/>
  <c r="E39" i="181"/>
  <c r="C39" i="181"/>
  <c r="E38" i="181"/>
  <c r="C38" i="181"/>
  <c r="E37" i="181"/>
  <c r="C37" i="181"/>
  <c r="E36" i="181"/>
  <c r="C36" i="181"/>
  <c r="E35" i="181"/>
  <c r="C35" i="181"/>
  <c r="E34" i="181"/>
  <c r="C34" i="181"/>
  <c r="E33" i="181"/>
  <c r="C33" i="181"/>
  <c r="E32" i="181"/>
  <c r="C32" i="181"/>
  <c r="E31" i="181"/>
  <c r="C31" i="181"/>
  <c r="E30" i="181"/>
  <c r="C30" i="181"/>
  <c r="E29" i="181"/>
  <c r="C29" i="181"/>
  <c r="E28" i="181"/>
  <c r="C28" i="181"/>
  <c r="E27" i="181"/>
  <c r="C27" i="181"/>
  <c r="E26" i="181"/>
  <c r="C26" i="181"/>
  <c r="E25" i="181"/>
  <c r="C25" i="181"/>
  <c r="E24" i="181"/>
  <c r="C24" i="181"/>
  <c r="E23" i="181"/>
  <c r="C23" i="181"/>
  <c r="E22" i="181"/>
  <c r="C22" i="181"/>
  <c r="E21" i="181"/>
  <c r="C21" i="181"/>
  <c r="E20" i="181"/>
  <c r="C20" i="181"/>
  <c r="E19" i="181"/>
  <c r="C19" i="181"/>
  <c r="E18" i="181"/>
  <c r="C18" i="181"/>
  <c r="E17" i="181"/>
  <c r="C17" i="181"/>
  <c r="E16" i="181"/>
  <c r="C16" i="181"/>
  <c r="E15" i="181"/>
  <c r="C15" i="181"/>
  <c r="E14" i="181"/>
  <c r="C14" i="181"/>
  <c r="E13" i="181"/>
  <c r="C13" i="181"/>
  <c r="E12" i="181"/>
  <c r="C12" i="181"/>
  <c r="E11" i="181"/>
  <c r="C11" i="181"/>
  <c r="E10" i="181"/>
  <c r="C10" i="181"/>
  <c r="E9" i="181"/>
  <c r="C9" i="181"/>
  <c r="B2" i="181"/>
  <c r="B3" i="181" s="1"/>
  <c r="E43" i="180"/>
  <c r="C43" i="180"/>
  <c r="E42" i="180"/>
  <c r="C42" i="180"/>
  <c r="E41" i="180"/>
  <c r="C41" i="180"/>
  <c r="E40" i="180"/>
  <c r="C40" i="180"/>
  <c r="E39" i="180"/>
  <c r="C39" i="180"/>
  <c r="E38" i="180"/>
  <c r="C38" i="180"/>
  <c r="E37" i="180"/>
  <c r="C37" i="180"/>
  <c r="E36" i="180"/>
  <c r="C36" i="180"/>
  <c r="E35" i="180"/>
  <c r="C35" i="180"/>
  <c r="E34" i="180"/>
  <c r="C34" i="180"/>
  <c r="E33" i="180"/>
  <c r="C33" i="180"/>
  <c r="E32" i="180"/>
  <c r="C32" i="180"/>
  <c r="E31" i="180"/>
  <c r="C31" i="180"/>
  <c r="E30" i="180"/>
  <c r="C30" i="180"/>
  <c r="E29" i="180"/>
  <c r="C29" i="180"/>
  <c r="E28" i="180"/>
  <c r="C28" i="180"/>
  <c r="E27" i="180"/>
  <c r="C27" i="180"/>
  <c r="E26" i="180"/>
  <c r="C26" i="180"/>
  <c r="E25" i="180"/>
  <c r="C25" i="180"/>
  <c r="E24" i="180"/>
  <c r="C24" i="180"/>
  <c r="E23" i="180"/>
  <c r="C23" i="180"/>
  <c r="E22" i="180"/>
  <c r="C22" i="180"/>
  <c r="E21" i="180"/>
  <c r="C21" i="180"/>
  <c r="E20" i="180"/>
  <c r="C20" i="180"/>
  <c r="E19" i="180"/>
  <c r="C19" i="180"/>
  <c r="E18" i="180"/>
  <c r="C18" i="180"/>
  <c r="E17" i="180"/>
  <c r="C17" i="180"/>
  <c r="E16" i="180"/>
  <c r="C16" i="180"/>
  <c r="E15" i="180"/>
  <c r="C15" i="180"/>
  <c r="E14" i="180"/>
  <c r="C14" i="180"/>
  <c r="E13" i="180"/>
  <c r="C13" i="180"/>
  <c r="E12" i="180"/>
  <c r="C12" i="180"/>
  <c r="E11" i="180"/>
  <c r="C11" i="180"/>
  <c r="E10" i="180"/>
  <c r="C10" i="180"/>
  <c r="E9" i="180"/>
  <c r="C9" i="180"/>
  <c r="B2" i="180"/>
  <c r="B3" i="180" s="1"/>
  <c r="E43" i="179"/>
  <c r="C43" i="179"/>
  <c r="E42" i="179"/>
  <c r="C42" i="179"/>
  <c r="E41" i="179"/>
  <c r="C41" i="179"/>
  <c r="E40" i="179"/>
  <c r="C40" i="179"/>
  <c r="E39" i="179"/>
  <c r="C39" i="179"/>
  <c r="E38" i="179"/>
  <c r="C38" i="179"/>
  <c r="E37" i="179"/>
  <c r="C37" i="179"/>
  <c r="E36" i="179"/>
  <c r="C36" i="179"/>
  <c r="E35" i="179"/>
  <c r="C35" i="179"/>
  <c r="E34" i="179"/>
  <c r="C34" i="179"/>
  <c r="E33" i="179"/>
  <c r="C33" i="179"/>
  <c r="E32" i="179"/>
  <c r="C32" i="179"/>
  <c r="E31" i="179"/>
  <c r="C31" i="179"/>
  <c r="E30" i="179"/>
  <c r="C30" i="179"/>
  <c r="E29" i="179"/>
  <c r="C29" i="179"/>
  <c r="E28" i="179"/>
  <c r="C28" i="179"/>
  <c r="E27" i="179"/>
  <c r="C27" i="179"/>
  <c r="E26" i="179"/>
  <c r="C26" i="179"/>
  <c r="E25" i="179"/>
  <c r="C25" i="179"/>
  <c r="E24" i="179"/>
  <c r="C24" i="179"/>
  <c r="E23" i="179"/>
  <c r="C23" i="179"/>
  <c r="E22" i="179"/>
  <c r="C22" i="179"/>
  <c r="E21" i="179"/>
  <c r="C21" i="179"/>
  <c r="E20" i="179"/>
  <c r="C20" i="179"/>
  <c r="E19" i="179"/>
  <c r="C19" i="179"/>
  <c r="E18" i="179"/>
  <c r="C18" i="179"/>
  <c r="E17" i="179"/>
  <c r="C17" i="179"/>
  <c r="E16" i="179"/>
  <c r="C16" i="179"/>
  <c r="E15" i="179"/>
  <c r="C15" i="179"/>
  <c r="E14" i="179"/>
  <c r="C14" i="179"/>
  <c r="E13" i="179"/>
  <c r="C13" i="179"/>
  <c r="E12" i="179"/>
  <c r="C12" i="179"/>
  <c r="E11" i="179"/>
  <c r="C11" i="179"/>
  <c r="E10" i="179"/>
  <c r="C10" i="179"/>
  <c r="E9" i="179"/>
  <c r="C9" i="179"/>
  <c r="B2" i="179"/>
  <c r="B3" i="179" s="1"/>
  <c r="E43" i="178"/>
  <c r="C43" i="178"/>
  <c r="E42" i="178"/>
  <c r="C42" i="178"/>
  <c r="E41" i="178"/>
  <c r="C41" i="178"/>
  <c r="E40" i="178"/>
  <c r="C40" i="178"/>
  <c r="E39" i="178"/>
  <c r="C39" i="178"/>
  <c r="E38" i="178"/>
  <c r="C38" i="178"/>
  <c r="E37" i="178"/>
  <c r="C37" i="178"/>
  <c r="E36" i="178"/>
  <c r="C36" i="178"/>
  <c r="E35" i="178"/>
  <c r="C35" i="178"/>
  <c r="E34" i="178"/>
  <c r="C34" i="178"/>
  <c r="E33" i="178"/>
  <c r="C33" i="178"/>
  <c r="E32" i="178"/>
  <c r="C32" i="178"/>
  <c r="E31" i="178"/>
  <c r="C31" i="178"/>
  <c r="E30" i="178"/>
  <c r="C30" i="178"/>
  <c r="E29" i="178"/>
  <c r="C29" i="178"/>
  <c r="E28" i="178"/>
  <c r="C28" i="178"/>
  <c r="E27" i="178"/>
  <c r="C27" i="178"/>
  <c r="E26" i="178"/>
  <c r="C26" i="178"/>
  <c r="E25" i="178"/>
  <c r="C25" i="178"/>
  <c r="E24" i="178"/>
  <c r="C24" i="178"/>
  <c r="E23" i="178"/>
  <c r="C23" i="178"/>
  <c r="E22" i="178"/>
  <c r="C22" i="178"/>
  <c r="E21" i="178"/>
  <c r="C21" i="178"/>
  <c r="E20" i="178"/>
  <c r="C20" i="178"/>
  <c r="E19" i="178"/>
  <c r="C19" i="178"/>
  <c r="E18" i="178"/>
  <c r="C18" i="178"/>
  <c r="E17" i="178"/>
  <c r="C17" i="178"/>
  <c r="E16" i="178"/>
  <c r="C16" i="178"/>
  <c r="E15" i="178"/>
  <c r="C15" i="178"/>
  <c r="E14" i="178"/>
  <c r="C14" i="178"/>
  <c r="E13" i="178"/>
  <c r="C13" i="178"/>
  <c r="E12" i="178"/>
  <c r="C12" i="178"/>
  <c r="E11" i="178"/>
  <c r="C11" i="178"/>
  <c r="E10" i="178"/>
  <c r="C10" i="178"/>
  <c r="E9" i="178"/>
  <c r="C9" i="178"/>
  <c r="B2" i="178"/>
  <c r="B3" i="178" s="1"/>
  <c r="E43" i="177"/>
  <c r="C43" i="177"/>
  <c r="E42" i="177"/>
  <c r="C42" i="177"/>
  <c r="E41" i="177"/>
  <c r="C41" i="177"/>
  <c r="E40" i="177"/>
  <c r="C40" i="177"/>
  <c r="E39" i="177"/>
  <c r="C39" i="177"/>
  <c r="E38" i="177"/>
  <c r="C38" i="177"/>
  <c r="E37" i="177"/>
  <c r="C37" i="177"/>
  <c r="E36" i="177"/>
  <c r="C36" i="177"/>
  <c r="E35" i="177"/>
  <c r="C35" i="177"/>
  <c r="E34" i="177"/>
  <c r="C34" i="177"/>
  <c r="E33" i="177"/>
  <c r="C33" i="177"/>
  <c r="E32" i="177"/>
  <c r="C32" i="177"/>
  <c r="E31" i="177"/>
  <c r="C31" i="177"/>
  <c r="E30" i="177"/>
  <c r="C30" i="177"/>
  <c r="E29" i="177"/>
  <c r="C29" i="177"/>
  <c r="E28" i="177"/>
  <c r="C28" i="177"/>
  <c r="E27" i="177"/>
  <c r="C27" i="177"/>
  <c r="E26" i="177"/>
  <c r="C26" i="177"/>
  <c r="E25" i="177"/>
  <c r="C25" i="177"/>
  <c r="E24" i="177"/>
  <c r="C24" i="177"/>
  <c r="E23" i="177"/>
  <c r="C23" i="177"/>
  <c r="E22" i="177"/>
  <c r="C22" i="177"/>
  <c r="E21" i="177"/>
  <c r="C21" i="177"/>
  <c r="E20" i="177"/>
  <c r="C20" i="177"/>
  <c r="E19" i="177"/>
  <c r="C19" i="177"/>
  <c r="E18" i="177"/>
  <c r="C18" i="177"/>
  <c r="E17" i="177"/>
  <c r="C17" i="177"/>
  <c r="E16" i="177"/>
  <c r="C16" i="177"/>
  <c r="E15" i="177"/>
  <c r="C15" i="177"/>
  <c r="E14" i="177"/>
  <c r="C14" i="177"/>
  <c r="E13" i="177"/>
  <c r="C13" i="177"/>
  <c r="E12" i="177"/>
  <c r="C12" i="177"/>
  <c r="E11" i="177"/>
  <c r="C11" i="177"/>
  <c r="E10" i="177"/>
  <c r="C10" i="177"/>
  <c r="E9" i="177"/>
  <c r="C9" i="177"/>
  <c r="B2" i="177"/>
  <c r="B3" i="177" s="1"/>
  <c r="E43" i="176"/>
  <c r="C43" i="176"/>
  <c r="E42" i="176"/>
  <c r="C42" i="176"/>
  <c r="E41" i="176"/>
  <c r="C41" i="176"/>
  <c r="E40" i="176"/>
  <c r="C40" i="176"/>
  <c r="E39" i="176"/>
  <c r="C39" i="176"/>
  <c r="E38" i="176"/>
  <c r="C38" i="176"/>
  <c r="E37" i="176"/>
  <c r="C37" i="176"/>
  <c r="E36" i="176"/>
  <c r="C36" i="176"/>
  <c r="E35" i="176"/>
  <c r="C35" i="176"/>
  <c r="E34" i="176"/>
  <c r="C34" i="176"/>
  <c r="E33" i="176"/>
  <c r="C33" i="176"/>
  <c r="E32" i="176"/>
  <c r="C32" i="176"/>
  <c r="E31" i="176"/>
  <c r="C31" i="176"/>
  <c r="E30" i="176"/>
  <c r="C30" i="176"/>
  <c r="E29" i="176"/>
  <c r="C29" i="176"/>
  <c r="E28" i="176"/>
  <c r="C28" i="176"/>
  <c r="E27" i="176"/>
  <c r="C27" i="176"/>
  <c r="E26" i="176"/>
  <c r="C26" i="176"/>
  <c r="E25" i="176"/>
  <c r="C25" i="176"/>
  <c r="E24" i="176"/>
  <c r="C24" i="176"/>
  <c r="E23" i="176"/>
  <c r="C23" i="176"/>
  <c r="E22" i="176"/>
  <c r="C22" i="176"/>
  <c r="E21" i="176"/>
  <c r="C21" i="176"/>
  <c r="E20" i="176"/>
  <c r="C20" i="176"/>
  <c r="E19" i="176"/>
  <c r="C19" i="176"/>
  <c r="E18" i="176"/>
  <c r="C18" i="176"/>
  <c r="E17" i="176"/>
  <c r="C17" i="176"/>
  <c r="E16" i="176"/>
  <c r="C16" i="176"/>
  <c r="E15" i="176"/>
  <c r="C15" i="176"/>
  <c r="E14" i="176"/>
  <c r="C14" i="176"/>
  <c r="E13" i="176"/>
  <c r="C13" i="176"/>
  <c r="E12" i="176"/>
  <c r="C12" i="176"/>
  <c r="E11" i="176"/>
  <c r="C11" i="176"/>
  <c r="E10" i="176"/>
  <c r="C10" i="176"/>
  <c r="E9" i="176"/>
  <c r="C9" i="176"/>
  <c r="B2" i="176"/>
  <c r="B3" i="176" s="1"/>
  <c r="E43" i="175"/>
  <c r="C43" i="175"/>
  <c r="E42" i="175"/>
  <c r="C42" i="175"/>
  <c r="E41" i="175"/>
  <c r="C41" i="175"/>
  <c r="E40" i="175"/>
  <c r="C40" i="175"/>
  <c r="E39" i="175"/>
  <c r="C39" i="175"/>
  <c r="E38" i="175"/>
  <c r="C38" i="175"/>
  <c r="E37" i="175"/>
  <c r="C37" i="175"/>
  <c r="E36" i="175"/>
  <c r="C36" i="175"/>
  <c r="E35" i="175"/>
  <c r="C35" i="175"/>
  <c r="E34" i="175"/>
  <c r="C34" i="175"/>
  <c r="E33" i="175"/>
  <c r="C33" i="175"/>
  <c r="E32" i="175"/>
  <c r="C32" i="175"/>
  <c r="E31" i="175"/>
  <c r="C31" i="175"/>
  <c r="E30" i="175"/>
  <c r="C30" i="175"/>
  <c r="E29" i="175"/>
  <c r="C29" i="175"/>
  <c r="E28" i="175"/>
  <c r="C28" i="175"/>
  <c r="E27" i="175"/>
  <c r="C27" i="175"/>
  <c r="E26" i="175"/>
  <c r="C26" i="175"/>
  <c r="E25" i="175"/>
  <c r="C25" i="175"/>
  <c r="E24" i="175"/>
  <c r="C24" i="175"/>
  <c r="E23" i="175"/>
  <c r="C23" i="175"/>
  <c r="E22" i="175"/>
  <c r="C22" i="175"/>
  <c r="E21" i="175"/>
  <c r="C21" i="175"/>
  <c r="E20" i="175"/>
  <c r="C20" i="175"/>
  <c r="E19" i="175"/>
  <c r="C19" i="175"/>
  <c r="E18" i="175"/>
  <c r="C18" i="175"/>
  <c r="E17" i="175"/>
  <c r="C17" i="175"/>
  <c r="E16" i="175"/>
  <c r="C16" i="175"/>
  <c r="E15" i="175"/>
  <c r="C15" i="175"/>
  <c r="E14" i="175"/>
  <c r="C14" i="175"/>
  <c r="E13" i="175"/>
  <c r="C13" i="175"/>
  <c r="E12" i="175"/>
  <c r="C12" i="175"/>
  <c r="E11" i="175"/>
  <c r="C11" i="175"/>
  <c r="E10" i="175"/>
  <c r="C10" i="175"/>
  <c r="E9" i="175"/>
  <c r="C9" i="175"/>
  <c r="B2" i="175"/>
  <c r="B3" i="175" s="1"/>
  <c r="E43" i="174"/>
  <c r="C43" i="174"/>
  <c r="E42" i="174"/>
  <c r="C42" i="174"/>
  <c r="E41" i="174"/>
  <c r="C41" i="174"/>
  <c r="E40" i="174"/>
  <c r="C40" i="174"/>
  <c r="E39" i="174"/>
  <c r="C39" i="174"/>
  <c r="E38" i="174"/>
  <c r="C38" i="174"/>
  <c r="E37" i="174"/>
  <c r="C37" i="174"/>
  <c r="E36" i="174"/>
  <c r="C36" i="174"/>
  <c r="E35" i="174"/>
  <c r="C35" i="174"/>
  <c r="E34" i="174"/>
  <c r="C34" i="174"/>
  <c r="E33" i="174"/>
  <c r="C33" i="174"/>
  <c r="E32" i="174"/>
  <c r="C32" i="174"/>
  <c r="E31" i="174"/>
  <c r="C31" i="174"/>
  <c r="E30" i="174"/>
  <c r="C30" i="174"/>
  <c r="E29" i="174"/>
  <c r="C29" i="174"/>
  <c r="E28" i="174"/>
  <c r="C28" i="174"/>
  <c r="E27" i="174"/>
  <c r="C27" i="174"/>
  <c r="E26" i="174"/>
  <c r="C26" i="174"/>
  <c r="E25" i="174"/>
  <c r="C25" i="174"/>
  <c r="E24" i="174"/>
  <c r="C24" i="174"/>
  <c r="E23" i="174"/>
  <c r="C23" i="174"/>
  <c r="E22" i="174"/>
  <c r="C22" i="174"/>
  <c r="E21" i="174"/>
  <c r="C21" i="174"/>
  <c r="E20" i="174"/>
  <c r="C20" i="174"/>
  <c r="E19" i="174"/>
  <c r="C19" i="174"/>
  <c r="E18" i="174"/>
  <c r="C18" i="174"/>
  <c r="E17" i="174"/>
  <c r="C17" i="174"/>
  <c r="E16" i="174"/>
  <c r="C16" i="174"/>
  <c r="E15" i="174"/>
  <c r="C15" i="174"/>
  <c r="E14" i="174"/>
  <c r="C14" i="174"/>
  <c r="E13" i="174"/>
  <c r="C13" i="174"/>
  <c r="E12" i="174"/>
  <c r="C12" i="174"/>
  <c r="E11" i="174"/>
  <c r="C11" i="174"/>
  <c r="E10" i="174"/>
  <c r="C10" i="174"/>
  <c r="E9" i="174"/>
  <c r="C9" i="174"/>
  <c r="B2" i="174"/>
  <c r="B3" i="174" s="1"/>
  <c r="E43" i="173"/>
  <c r="C43" i="173"/>
  <c r="E42" i="173"/>
  <c r="C42" i="173"/>
  <c r="E41" i="173"/>
  <c r="C41" i="173"/>
  <c r="E40" i="173"/>
  <c r="C40" i="173"/>
  <c r="E39" i="173"/>
  <c r="C39" i="173"/>
  <c r="E38" i="173"/>
  <c r="C38" i="173"/>
  <c r="E37" i="173"/>
  <c r="C37" i="173"/>
  <c r="E36" i="173"/>
  <c r="C36" i="173"/>
  <c r="E35" i="173"/>
  <c r="C35" i="173"/>
  <c r="E34" i="173"/>
  <c r="C34" i="173"/>
  <c r="E33" i="173"/>
  <c r="C33" i="173"/>
  <c r="E32" i="173"/>
  <c r="C32" i="173"/>
  <c r="E31" i="173"/>
  <c r="C31" i="173"/>
  <c r="E30" i="173"/>
  <c r="C30" i="173"/>
  <c r="E29" i="173"/>
  <c r="C29" i="173"/>
  <c r="E28" i="173"/>
  <c r="C28" i="173"/>
  <c r="E27" i="173"/>
  <c r="C27" i="173"/>
  <c r="E26" i="173"/>
  <c r="C26" i="173"/>
  <c r="E25" i="173"/>
  <c r="C25" i="173"/>
  <c r="E24" i="173"/>
  <c r="C24" i="173"/>
  <c r="E23" i="173"/>
  <c r="C23" i="173"/>
  <c r="E22" i="173"/>
  <c r="C22" i="173"/>
  <c r="E21" i="173"/>
  <c r="C21" i="173"/>
  <c r="E20" i="173"/>
  <c r="C20" i="173"/>
  <c r="E19" i="173"/>
  <c r="C19" i="173"/>
  <c r="E18" i="173"/>
  <c r="C18" i="173"/>
  <c r="E17" i="173"/>
  <c r="C17" i="173"/>
  <c r="E16" i="173"/>
  <c r="C16" i="173"/>
  <c r="E15" i="173"/>
  <c r="C15" i="173"/>
  <c r="E14" i="173"/>
  <c r="C14" i="173"/>
  <c r="E13" i="173"/>
  <c r="C13" i="173"/>
  <c r="E12" i="173"/>
  <c r="C12" i="173"/>
  <c r="E11" i="173"/>
  <c r="C11" i="173"/>
  <c r="E10" i="173"/>
  <c r="C10" i="173"/>
  <c r="E9" i="173"/>
  <c r="C9" i="173"/>
  <c r="B2" i="173"/>
  <c r="B3" i="173" s="1"/>
  <c r="E43" i="172"/>
  <c r="C43" i="172"/>
  <c r="E42" i="172"/>
  <c r="C42" i="172"/>
  <c r="E41" i="172"/>
  <c r="C41" i="172"/>
  <c r="E40" i="172"/>
  <c r="C40" i="172"/>
  <c r="E39" i="172"/>
  <c r="C39" i="172"/>
  <c r="E38" i="172"/>
  <c r="C38" i="172"/>
  <c r="E37" i="172"/>
  <c r="C37" i="172"/>
  <c r="E36" i="172"/>
  <c r="C36" i="172"/>
  <c r="E35" i="172"/>
  <c r="C35" i="172"/>
  <c r="E34" i="172"/>
  <c r="C34" i="172"/>
  <c r="E33" i="172"/>
  <c r="C33" i="172"/>
  <c r="E32" i="172"/>
  <c r="C32" i="172"/>
  <c r="E31" i="172"/>
  <c r="C31" i="172"/>
  <c r="E30" i="172"/>
  <c r="C30" i="172"/>
  <c r="E29" i="172"/>
  <c r="C29" i="172"/>
  <c r="E28" i="172"/>
  <c r="C28" i="172"/>
  <c r="E27" i="172"/>
  <c r="C27" i="172"/>
  <c r="E26" i="172"/>
  <c r="C26" i="172"/>
  <c r="E25" i="172"/>
  <c r="C25" i="172"/>
  <c r="E24" i="172"/>
  <c r="C24" i="172"/>
  <c r="E23" i="172"/>
  <c r="C23" i="172"/>
  <c r="E22" i="172"/>
  <c r="C22" i="172"/>
  <c r="E21" i="172"/>
  <c r="C21" i="172"/>
  <c r="E20" i="172"/>
  <c r="C20" i="172"/>
  <c r="E19" i="172"/>
  <c r="C19" i="172"/>
  <c r="E18" i="172"/>
  <c r="C18" i="172"/>
  <c r="E17" i="172"/>
  <c r="C17" i="172"/>
  <c r="E16" i="172"/>
  <c r="C16" i="172"/>
  <c r="E15" i="172"/>
  <c r="C15" i="172"/>
  <c r="E14" i="172"/>
  <c r="C14" i="172"/>
  <c r="E13" i="172"/>
  <c r="C13" i="172"/>
  <c r="E12" i="172"/>
  <c r="C12" i="172"/>
  <c r="E11" i="172"/>
  <c r="C11" i="172"/>
  <c r="E10" i="172"/>
  <c r="C10" i="172"/>
  <c r="E9" i="172"/>
  <c r="C9" i="172"/>
  <c r="B2" i="172"/>
  <c r="B5" i="172" s="1"/>
  <c r="E43" i="171"/>
  <c r="C43" i="171"/>
  <c r="E42" i="171"/>
  <c r="C42" i="171"/>
  <c r="E41" i="171"/>
  <c r="C41" i="171"/>
  <c r="E40" i="171"/>
  <c r="C40" i="171"/>
  <c r="E39" i="171"/>
  <c r="C39" i="171"/>
  <c r="E38" i="171"/>
  <c r="C38" i="171"/>
  <c r="E37" i="171"/>
  <c r="C37" i="171"/>
  <c r="E36" i="171"/>
  <c r="C36" i="171"/>
  <c r="E35" i="171"/>
  <c r="C35" i="171"/>
  <c r="E34" i="171"/>
  <c r="C34" i="171"/>
  <c r="E33" i="171"/>
  <c r="C33" i="171"/>
  <c r="E32" i="171"/>
  <c r="C32" i="171"/>
  <c r="E31" i="171"/>
  <c r="C31" i="171"/>
  <c r="E30" i="171"/>
  <c r="C30" i="171"/>
  <c r="E29" i="171"/>
  <c r="C29" i="171"/>
  <c r="E28" i="171"/>
  <c r="C28" i="171"/>
  <c r="E27" i="171"/>
  <c r="C27" i="171"/>
  <c r="E26" i="171"/>
  <c r="C26" i="171"/>
  <c r="E25" i="171"/>
  <c r="C25" i="171"/>
  <c r="E24" i="171"/>
  <c r="C24" i="171"/>
  <c r="E23" i="171"/>
  <c r="C23" i="171"/>
  <c r="E22" i="171"/>
  <c r="C22" i="171"/>
  <c r="E21" i="171"/>
  <c r="C21" i="171"/>
  <c r="E20" i="171"/>
  <c r="C20" i="171"/>
  <c r="E19" i="171"/>
  <c r="C19" i="171"/>
  <c r="E18" i="171"/>
  <c r="C18" i="171"/>
  <c r="E17" i="171"/>
  <c r="C17" i="171"/>
  <c r="E16" i="171"/>
  <c r="C16" i="171"/>
  <c r="E15" i="171"/>
  <c r="C15" i="171"/>
  <c r="E14" i="171"/>
  <c r="C14" i="171"/>
  <c r="E13" i="171"/>
  <c r="C13" i="171"/>
  <c r="E12" i="171"/>
  <c r="C12" i="171"/>
  <c r="E11" i="171"/>
  <c r="C11" i="171"/>
  <c r="E10" i="171"/>
  <c r="C10" i="171"/>
  <c r="E9" i="171"/>
  <c r="C9" i="171"/>
  <c r="B2" i="171"/>
  <c r="B3" i="171" s="1"/>
  <c r="E43" i="170"/>
  <c r="C43" i="170"/>
  <c r="E42" i="170"/>
  <c r="C42" i="170"/>
  <c r="E41" i="170"/>
  <c r="C41" i="170"/>
  <c r="E40" i="170"/>
  <c r="C40" i="170"/>
  <c r="E39" i="170"/>
  <c r="C39" i="170"/>
  <c r="E38" i="170"/>
  <c r="C38" i="170"/>
  <c r="E37" i="170"/>
  <c r="C37" i="170"/>
  <c r="E36" i="170"/>
  <c r="C36" i="170"/>
  <c r="E35" i="170"/>
  <c r="C35" i="170"/>
  <c r="E34" i="170"/>
  <c r="C34" i="170"/>
  <c r="E33" i="170"/>
  <c r="C33" i="170"/>
  <c r="E32" i="170"/>
  <c r="C32" i="170"/>
  <c r="E31" i="170"/>
  <c r="C31" i="170"/>
  <c r="E30" i="170"/>
  <c r="C30" i="170"/>
  <c r="E29" i="170"/>
  <c r="C29" i="170"/>
  <c r="E28" i="170"/>
  <c r="C28" i="170"/>
  <c r="E27" i="170"/>
  <c r="C27" i="170"/>
  <c r="E26" i="170"/>
  <c r="C26" i="170"/>
  <c r="E25" i="170"/>
  <c r="C25" i="170"/>
  <c r="E24" i="170"/>
  <c r="C24" i="170"/>
  <c r="E23" i="170"/>
  <c r="C23" i="170"/>
  <c r="E22" i="170"/>
  <c r="C22" i="170"/>
  <c r="E21" i="170"/>
  <c r="C21" i="170"/>
  <c r="E20" i="170"/>
  <c r="C20" i="170"/>
  <c r="E19" i="170"/>
  <c r="C19" i="170"/>
  <c r="E18" i="170"/>
  <c r="C18" i="170"/>
  <c r="E17" i="170"/>
  <c r="C17" i="170"/>
  <c r="E16" i="170"/>
  <c r="C16" i="170"/>
  <c r="E15" i="170"/>
  <c r="C15" i="170"/>
  <c r="E14" i="170"/>
  <c r="C14" i="170"/>
  <c r="E13" i="170"/>
  <c r="C13" i="170"/>
  <c r="E12" i="170"/>
  <c r="C12" i="170"/>
  <c r="E11" i="170"/>
  <c r="C11" i="170"/>
  <c r="E10" i="170"/>
  <c r="C10" i="170"/>
  <c r="E9" i="170"/>
  <c r="C9" i="170"/>
  <c r="B2" i="170"/>
  <c r="B3" i="170" s="1"/>
  <c r="E43" i="169"/>
  <c r="C43" i="169"/>
  <c r="E42" i="169"/>
  <c r="C42" i="169"/>
  <c r="E41" i="169"/>
  <c r="C41" i="169"/>
  <c r="E40" i="169"/>
  <c r="C40" i="169"/>
  <c r="E39" i="169"/>
  <c r="C39" i="169"/>
  <c r="E38" i="169"/>
  <c r="C38" i="169"/>
  <c r="E37" i="169"/>
  <c r="C37" i="169"/>
  <c r="E36" i="169"/>
  <c r="C36" i="169"/>
  <c r="E35" i="169"/>
  <c r="C35" i="169"/>
  <c r="E34" i="169"/>
  <c r="C34" i="169"/>
  <c r="E33" i="169"/>
  <c r="C33" i="169"/>
  <c r="E32" i="169"/>
  <c r="C32" i="169"/>
  <c r="E31" i="169"/>
  <c r="C31" i="169"/>
  <c r="E30" i="169"/>
  <c r="C30" i="169"/>
  <c r="E29" i="169"/>
  <c r="C29" i="169"/>
  <c r="E28" i="169"/>
  <c r="C28" i="169"/>
  <c r="E27" i="169"/>
  <c r="C27" i="169"/>
  <c r="E26" i="169"/>
  <c r="C26" i="169"/>
  <c r="E25" i="169"/>
  <c r="C25" i="169"/>
  <c r="E24" i="169"/>
  <c r="C24" i="169"/>
  <c r="E23" i="169"/>
  <c r="C23" i="169"/>
  <c r="E22" i="169"/>
  <c r="C22" i="169"/>
  <c r="E21" i="169"/>
  <c r="C21" i="169"/>
  <c r="E20" i="169"/>
  <c r="C20" i="169"/>
  <c r="E19" i="169"/>
  <c r="C19" i="169"/>
  <c r="E18" i="169"/>
  <c r="C18" i="169"/>
  <c r="E17" i="169"/>
  <c r="C17" i="169"/>
  <c r="E16" i="169"/>
  <c r="C16" i="169"/>
  <c r="E15" i="169"/>
  <c r="C15" i="169"/>
  <c r="E14" i="169"/>
  <c r="C14" i="169"/>
  <c r="E13" i="169"/>
  <c r="C13" i="169"/>
  <c r="E12" i="169"/>
  <c r="C12" i="169"/>
  <c r="E11" i="169"/>
  <c r="C11" i="169"/>
  <c r="E10" i="169"/>
  <c r="C10" i="169"/>
  <c r="E9" i="169"/>
  <c r="C9" i="169"/>
  <c r="B2" i="169"/>
  <c r="B3" i="169" s="1"/>
  <c r="E43" i="168"/>
  <c r="C43" i="168"/>
  <c r="E42" i="168"/>
  <c r="C42" i="168"/>
  <c r="E41" i="168"/>
  <c r="C41" i="168"/>
  <c r="E40" i="168"/>
  <c r="C40" i="168"/>
  <c r="E39" i="168"/>
  <c r="C39" i="168"/>
  <c r="E38" i="168"/>
  <c r="C38" i="168"/>
  <c r="E37" i="168"/>
  <c r="C37" i="168"/>
  <c r="E36" i="168"/>
  <c r="C36" i="168"/>
  <c r="E35" i="168"/>
  <c r="C35" i="168"/>
  <c r="E34" i="168"/>
  <c r="C34" i="168"/>
  <c r="E33" i="168"/>
  <c r="C33" i="168"/>
  <c r="E32" i="168"/>
  <c r="C32" i="168"/>
  <c r="E31" i="168"/>
  <c r="C31" i="168"/>
  <c r="E30" i="168"/>
  <c r="C30" i="168"/>
  <c r="E29" i="168"/>
  <c r="C29" i="168"/>
  <c r="E28" i="168"/>
  <c r="C28" i="168"/>
  <c r="E27" i="168"/>
  <c r="C27" i="168"/>
  <c r="E26" i="168"/>
  <c r="C26" i="168"/>
  <c r="E25" i="168"/>
  <c r="C25" i="168"/>
  <c r="E24" i="168"/>
  <c r="C24" i="168"/>
  <c r="E23" i="168"/>
  <c r="C23" i="168"/>
  <c r="E22" i="168"/>
  <c r="C22" i="168"/>
  <c r="E21" i="168"/>
  <c r="C21" i="168"/>
  <c r="E20" i="168"/>
  <c r="C20" i="168"/>
  <c r="E19" i="168"/>
  <c r="C19" i="168"/>
  <c r="E18" i="168"/>
  <c r="C18" i="168"/>
  <c r="E17" i="168"/>
  <c r="C17" i="168"/>
  <c r="E16" i="168"/>
  <c r="C16" i="168"/>
  <c r="E15" i="168"/>
  <c r="C15" i="168"/>
  <c r="E14" i="168"/>
  <c r="C14" i="168"/>
  <c r="E13" i="168"/>
  <c r="C13" i="168"/>
  <c r="E12" i="168"/>
  <c r="C12" i="168"/>
  <c r="E11" i="168"/>
  <c r="C11" i="168"/>
  <c r="E10" i="168"/>
  <c r="C10" i="168"/>
  <c r="E9" i="168"/>
  <c r="C9" i="168"/>
  <c r="B2" i="168"/>
  <c r="B5" i="168" s="1"/>
  <c r="E43" i="167"/>
  <c r="C43" i="167"/>
  <c r="E42" i="167"/>
  <c r="C42" i="167"/>
  <c r="E41" i="167"/>
  <c r="C41" i="167"/>
  <c r="E40" i="167"/>
  <c r="C40" i="167"/>
  <c r="E39" i="167"/>
  <c r="C39" i="167"/>
  <c r="E38" i="167"/>
  <c r="C38" i="167"/>
  <c r="E37" i="167"/>
  <c r="C37" i="167"/>
  <c r="E36" i="167"/>
  <c r="C36" i="167"/>
  <c r="E35" i="167"/>
  <c r="C35" i="167"/>
  <c r="E34" i="167"/>
  <c r="C34" i="167"/>
  <c r="E33" i="167"/>
  <c r="C33" i="167"/>
  <c r="E32" i="167"/>
  <c r="C32" i="167"/>
  <c r="E31" i="167"/>
  <c r="C31" i="167"/>
  <c r="E30" i="167"/>
  <c r="C30" i="167"/>
  <c r="E29" i="167"/>
  <c r="C29" i="167"/>
  <c r="E28" i="167"/>
  <c r="C28" i="167"/>
  <c r="E27" i="167"/>
  <c r="C27" i="167"/>
  <c r="E26" i="167"/>
  <c r="C26" i="167"/>
  <c r="E25" i="167"/>
  <c r="C25" i="167"/>
  <c r="E24" i="167"/>
  <c r="C24" i="167"/>
  <c r="E23" i="167"/>
  <c r="C23" i="167"/>
  <c r="E22" i="167"/>
  <c r="C22" i="167"/>
  <c r="E21" i="167"/>
  <c r="C21" i="167"/>
  <c r="E20" i="167"/>
  <c r="C20" i="167"/>
  <c r="E19" i="167"/>
  <c r="C19" i="167"/>
  <c r="E18" i="167"/>
  <c r="C18" i="167"/>
  <c r="E17" i="167"/>
  <c r="C17" i="167"/>
  <c r="E16" i="167"/>
  <c r="C16" i="167"/>
  <c r="E15" i="167"/>
  <c r="C15" i="167"/>
  <c r="E14" i="167"/>
  <c r="C14" i="167"/>
  <c r="E13" i="167"/>
  <c r="C13" i="167"/>
  <c r="E12" i="167"/>
  <c r="C12" i="167"/>
  <c r="E11" i="167"/>
  <c r="C11" i="167"/>
  <c r="E10" i="167"/>
  <c r="C10" i="167"/>
  <c r="E9" i="167"/>
  <c r="C9" i="167"/>
  <c r="B2" i="167"/>
  <c r="B3" i="167" s="1"/>
  <c r="E43" i="166"/>
  <c r="C43" i="166"/>
  <c r="E42" i="166"/>
  <c r="C42" i="166"/>
  <c r="E41" i="166"/>
  <c r="C41" i="166"/>
  <c r="E40" i="166"/>
  <c r="C40" i="166"/>
  <c r="E39" i="166"/>
  <c r="C39" i="166"/>
  <c r="E38" i="166"/>
  <c r="C38" i="166"/>
  <c r="E37" i="166"/>
  <c r="C37" i="166"/>
  <c r="E36" i="166"/>
  <c r="C36" i="166"/>
  <c r="E35" i="166"/>
  <c r="C35" i="166"/>
  <c r="E34" i="166"/>
  <c r="C34" i="166"/>
  <c r="E33" i="166"/>
  <c r="C33" i="166"/>
  <c r="E32" i="166"/>
  <c r="C32" i="166"/>
  <c r="E31" i="166"/>
  <c r="C31" i="166"/>
  <c r="E30" i="166"/>
  <c r="C30" i="166"/>
  <c r="E29" i="166"/>
  <c r="C29" i="166"/>
  <c r="E28" i="166"/>
  <c r="C28" i="166"/>
  <c r="E27" i="166"/>
  <c r="C27" i="166"/>
  <c r="E26" i="166"/>
  <c r="C26" i="166"/>
  <c r="E25" i="166"/>
  <c r="C25" i="166"/>
  <c r="E24" i="166"/>
  <c r="C24" i="166"/>
  <c r="E23" i="166"/>
  <c r="C23" i="166"/>
  <c r="E22" i="166"/>
  <c r="C22" i="166"/>
  <c r="E21" i="166"/>
  <c r="C21" i="166"/>
  <c r="E20" i="166"/>
  <c r="C20" i="166"/>
  <c r="E19" i="166"/>
  <c r="C19" i="166"/>
  <c r="E18" i="166"/>
  <c r="C18" i="166"/>
  <c r="E17" i="166"/>
  <c r="C17" i="166"/>
  <c r="E16" i="166"/>
  <c r="C16" i="166"/>
  <c r="E15" i="166"/>
  <c r="C15" i="166"/>
  <c r="E14" i="166"/>
  <c r="C14" i="166"/>
  <c r="E13" i="166"/>
  <c r="C13" i="166"/>
  <c r="E12" i="166"/>
  <c r="C12" i="166"/>
  <c r="E11" i="166"/>
  <c r="C11" i="166"/>
  <c r="E10" i="166"/>
  <c r="C10" i="166"/>
  <c r="E9" i="166"/>
  <c r="C9" i="166"/>
  <c r="B2" i="166"/>
  <c r="B3" i="166" s="1"/>
  <c r="E43" i="165"/>
  <c r="C43" i="165"/>
  <c r="E42" i="165"/>
  <c r="C42" i="165"/>
  <c r="E41" i="165"/>
  <c r="C41" i="165"/>
  <c r="E40" i="165"/>
  <c r="C40" i="165"/>
  <c r="E39" i="165"/>
  <c r="C39" i="165"/>
  <c r="E38" i="165"/>
  <c r="C38" i="165"/>
  <c r="E37" i="165"/>
  <c r="C37" i="165"/>
  <c r="E36" i="165"/>
  <c r="C36" i="165"/>
  <c r="E35" i="165"/>
  <c r="C35" i="165"/>
  <c r="E34" i="165"/>
  <c r="C34" i="165"/>
  <c r="E33" i="165"/>
  <c r="C33" i="165"/>
  <c r="E32" i="165"/>
  <c r="C32" i="165"/>
  <c r="E31" i="165"/>
  <c r="C31" i="165"/>
  <c r="E30" i="165"/>
  <c r="C30" i="165"/>
  <c r="E29" i="165"/>
  <c r="C29" i="165"/>
  <c r="E28" i="165"/>
  <c r="C28" i="165"/>
  <c r="E27" i="165"/>
  <c r="C27" i="165"/>
  <c r="E26" i="165"/>
  <c r="C26" i="165"/>
  <c r="E25" i="165"/>
  <c r="C25" i="165"/>
  <c r="E24" i="165"/>
  <c r="C24" i="165"/>
  <c r="E23" i="165"/>
  <c r="C23" i="165"/>
  <c r="E22" i="165"/>
  <c r="C22" i="165"/>
  <c r="E21" i="165"/>
  <c r="C21" i="165"/>
  <c r="E20" i="165"/>
  <c r="C20" i="165"/>
  <c r="E19" i="165"/>
  <c r="C19" i="165"/>
  <c r="E18" i="165"/>
  <c r="C18" i="165"/>
  <c r="E17" i="165"/>
  <c r="C17" i="165"/>
  <c r="E16" i="165"/>
  <c r="C16" i="165"/>
  <c r="E15" i="165"/>
  <c r="C15" i="165"/>
  <c r="E14" i="165"/>
  <c r="C14" i="165"/>
  <c r="E13" i="165"/>
  <c r="C13" i="165"/>
  <c r="E12" i="165"/>
  <c r="C12" i="165"/>
  <c r="E11" i="165"/>
  <c r="C11" i="165"/>
  <c r="E10" i="165"/>
  <c r="C10" i="165"/>
  <c r="E9" i="165"/>
  <c r="C9" i="165"/>
  <c r="B2" i="165"/>
  <c r="B3" i="165" s="1"/>
  <c r="E43" i="164"/>
  <c r="C43" i="164"/>
  <c r="E42" i="164"/>
  <c r="C42" i="164"/>
  <c r="E41" i="164"/>
  <c r="C41" i="164"/>
  <c r="E40" i="164"/>
  <c r="C40" i="164"/>
  <c r="E39" i="164"/>
  <c r="C39" i="164"/>
  <c r="E38" i="164"/>
  <c r="C38" i="164"/>
  <c r="E37" i="164"/>
  <c r="C37" i="164"/>
  <c r="E36" i="164"/>
  <c r="C36" i="164"/>
  <c r="E35" i="164"/>
  <c r="C35" i="164"/>
  <c r="E34" i="164"/>
  <c r="C34" i="164"/>
  <c r="E33" i="164"/>
  <c r="C33" i="164"/>
  <c r="E32" i="164"/>
  <c r="C32" i="164"/>
  <c r="E31" i="164"/>
  <c r="C31" i="164"/>
  <c r="E30" i="164"/>
  <c r="C30" i="164"/>
  <c r="E29" i="164"/>
  <c r="C29" i="164"/>
  <c r="E28" i="164"/>
  <c r="C28" i="164"/>
  <c r="E27" i="164"/>
  <c r="C27" i="164"/>
  <c r="E26" i="164"/>
  <c r="C26" i="164"/>
  <c r="E25" i="164"/>
  <c r="C25" i="164"/>
  <c r="E24" i="164"/>
  <c r="C24" i="164"/>
  <c r="E23" i="164"/>
  <c r="C23" i="164"/>
  <c r="E22" i="164"/>
  <c r="C22" i="164"/>
  <c r="E21" i="164"/>
  <c r="C21" i="164"/>
  <c r="E20" i="164"/>
  <c r="C20" i="164"/>
  <c r="E19" i="164"/>
  <c r="C19" i="164"/>
  <c r="E18" i="164"/>
  <c r="C18" i="164"/>
  <c r="E17" i="164"/>
  <c r="C17" i="164"/>
  <c r="E16" i="164"/>
  <c r="C16" i="164"/>
  <c r="E15" i="164"/>
  <c r="C15" i="164"/>
  <c r="E14" i="164"/>
  <c r="C14" i="164"/>
  <c r="E13" i="164"/>
  <c r="C13" i="164"/>
  <c r="E12" i="164"/>
  <c r="C12" i="164"/>
  <c r="E11" i="164"/>
  <c r="C11" i="164"/>
  <c r="E10" i="164"/>
  <c r="C10" i="164"/>
  <c r="E9" i="164"/>
  <c r="C9" i="164"/>
  <c r="B2" i="164"/>
  <c r="B3" i="164" s="1"/>
  <c r="E43" i="163"/>
  <c r="C43" i="163"/>
  <c r="E42" i="163"/>
  <c r="C42" i="163"/>
  <c r="E41" i="163"/>
  <c r="C41" i="163"/>
  <c r="E40" i="163"/>
  <c r="C40" i="163"/>
  <c r="E39" i="163"/>
  <c r="C39" i="163"/>
  <c r="E38" i="163"/>
  <c r="C38" i="163"/>
  <c r="E37" i="163"/>
  <c r="C37" i="163"/>
  <c r="E36" i="163"/>
  <c r="C36" i="163"/>
  <c r="E35" i="163"/>
  <c r="C35" i="163"/>
  <c r="E34" i="163"/>
  <c r="C34" i="163"/>
  <c r="E33" i="163"/>
  <c r="C33" i="163"/>
  <c r="E32" i="163"/>
  <c r="C32" i="163"/>
  <c r="E31" i="163"/>
  <c r="C31" i="163"/>
  <c r="E30" i="163"/>
  <c r="C30" i="163"/>
  <c r="E29" i="163"/>
  <c r="C29" i="163"/>
  <c r="E28" i="163"/>
  <c r="C28" i="163"/>
  <c r="E27" i="163"/>
  <c r="C27" i="163"/>
  <c r="E26" i="163"/>
  <c r="C26" i="163"/>
  <c r="E25" i="163"/>
  <c r="C25" i="163"/>
  <c r="E24" i="163"/>
  <c r="C24" i="163"/>
  <c r="E23" i="163"/>
  <c r="C23" i="163"/>
  <c r="E22" i="163"/>
  <c r="C22" i="163"/>
  <c r="E21" i="163"/>
  <c r="C21" i="163"/>
  <c r="E20" i="163"/>
  <c r="C20" i="163"/>
  <c r="E19" i="163"/>
  <c r="C19" i="163"/>
  <c r="E18" i="163"/>
  <c r="C18" i="163"/>
  <c r="E17" i="163"/>
  <c r="C17" i="163"/>
  <c r="E16" i="163"/>
  <c r="C16" i="163"/>
  <c r="E15" i="163"/>
  <c r="C15" i="163"/>
  <c r="E14" i="163"/>
  <c r="C14" i="163"/>
  <c r="E13" i="163"/>
  <c r="C13" i="163"/>
  <c r="E12" i="163"/>
  <c r="C12" i="163"/>
  <c r="E11" i="163"/>
  <c r="C11" i="163"/>
  <c r="E10" i="163"/>
  <c r="C10" i="163"/>
  <c r="E9" i="163"/>
  <c r="C9" i="163"/>
  <c r="B2" i="163"/>
  <c r="B3" i="163" s="1"/>
  <c r="E43" i="162"/>
  <c r="C43" i="162"/>
  <c r="E42" i="162"/>
  <c r="C42" i="162"/>
  <c r="E41" i="162"/>
  <c r="C41" i="162"/>
  <c r="E40" i="162"/>
  <c r="C40" i="162"/>
  <c r="E39" i="162"/>
  <c r="C39" i="162"/>
  <c r="E38" i="162"/>
  <c r="C38" i="162"/>
  <c r="E37" i="162"/>
  <c r="C37" i="162"/>
  <c r="E36" i="162"/>
  <c r="C36" i="162"/>
  <c r="E35" i="162"/>
  <c r="C35" i="162"/>
  <c r="E34" i="162"/>
  <c r="C34" i="162"/>
  <c r="E33" i="162"/>
  <c r="C33" i="162"/>
  <c r="E32" i="162"/>
  <c r="C32" i="162"/>
  <c r="E31" i="162"/>
  <c r="C31" i="162"/>
  <c r="E30" i="162"/>
  <c r="C30" i="162"/>
  <c r="E29" i="162"/>
  <c r="C29" i="162"/>
  <c r="E28" i="162"/>
  <c r="C28" i="162"/>
  <c r="E27" i="162"/>
  <c r="C27" i="162"/>
  <c r="E26" i="162"/>
  <c r="C26" i="162"/>
  <c r="E25" i="162"/>
  <c r="C25" i="162"/>
  <c r="E24" i="162"/>
  <c r="C24" i="162"/>
  <c r="E23" i="162"/>
  <c r="C23" i="162"/>
  <c r="E22" i="162"/>
  <c r="C22" i="162"/>
  <c r="E21" i="162"/>
  <c r="C21" i="162"/>
  <c r="E20" i="162"/>
  <c r="C20" i="162"/>
  <c r="E19" i="162"/>
  <c r="C19" i="162"/>
  <c r="E18" i="162"/>
  <c r="C18" i="162"/>
  <c r="E17" i="162"/>
  <c r="C17" i="162"/>
  <c r="E16" i="162"/>
  <c r="C16" i="162"/>
  <c r="E15" i="162"/>
  <c r="C15" i="162"/>
  <c r="E14" i="162"/>
  <c r="C14" i="162"/>
  <c r="E13" i="162"/>
  <c r="C13" i="162"/>
  <c r="E12" i="162"/>
  <c r="C12" i="162"/>
  <c r="E11" i="162"/>
  <c r="C11" i="162"/>
  <c r="E10" i="162"/>
  <c r="C10" i="162"/>
  <c r="E9" i="162"/>
  <c r="C9" i="162"/>
  <c r="B2" i="162"/>
  <c r="B3" i="162" s="1"/>
  <c r="E43" i="161"/>
  <c r="C43" i="161"/>
  <c r="E42" i="161"/>
  <c r="C42" i="161"/>
  <c r="E41" i="161"/>
  <c r="C41" i="161"/>
  <c r="E40" i="161"/>
  <c r="C40" i="161"/>
  <c r="E39" i="161"/>
  <c r="C39" i="161"/>
  <c r="E38" i="161"/>
  <c r="C38" i="161"/>
  <c r="E37" i="161"/>
  <c r="C37" i="161"/>
  <c r="E36" i="161"/>
  <c r="C36" i="161"/>
  <c r="E35" i="161"/>
  <c r="C35" i="161"/>
  <c r="E34" i="161"/>
  <c r="C34" i="161"/>
  <c r="E33" i="161"/>
  <c r="C33" i="161"/>
  <c r="E32" i="161"/>
  <c r="C32" i="161"/>
  <c r="E31" i="161"/>
  <c r="C31" i="161"/>
  <c r="E30" i="161"/>
  <c r="C30" i="161"/>
  <c r="E29" i="161"/>
  <c r="C29" i="161"/>
  <c r="E28" i="161"/>
  <c r="C28" i="161"/>
  <c r="E27" i="161"/>
  <c r="C27" i="161"/>
  <c r="E26" i="161"/>
  <c r="C26" i="161"/>
  <c r="E25" i="161"/>
  <c r="C25" i="161"/>
  <c r="E24" i="161"/>
  <c r="C24" i="161"/>
  <c r="E23" i="161"/>
  <c r="C23" i="161"/>
  <c r="E22" i="161"/>
  <c r="C22" i="161"/>
  <c r="E21" i="161"/>
  <c r="C21" i="161"/>
  <c r="E20" i="161"/>
  <c r="C20" i="161"/>
  <c r="E19" i="161"/>
  <c r="C19" i="161"/>
  <c r="E18" i="161"/>
  <c r="C18" i="161"/>
  <c r="E17" i="161"/>
  <c r="C17" i="161"/>
  <c r="E16" i="161"/>
  <c r="C16" i="161"/>
  <c r="E15" i="161"/>
  <c r="C15" i="161"/>
  <c r="E14" i="161"/>
  <c r="C14" i="161"/>
  <c r="E13" i="161"/>
  <c r="C13" i="161"/>
  <c r="E12" i="161"/>
  <c r="C12" i="161"/>
  <c r="E11" i="161"/>
  <c r="C11" i="161"/>
  <c r="E10" i="161"/>
  <c r="C10" i="161"/>
  <c r="E9" i="161"/>
  <c r="C9" i="161"/>
  <c r="B2" i="161"/>
  <c r="B3" i="161" s="1"/>
  <c r="E43" i="160"/>
  <c r="C43" i="160"/>
  <c r="E42" i="160"/>
  <c r="C42" i="160"/>
  <c r="E41" i="160"/>
  <c r="C41" i="160"/>
  <c r="E40" i="160"/>
  <c r="C40" i="160"/>
  <c r="E39" i="160"/>
  <c r="C39" i="160"/>
  <c r="E38" i="160"/>
  <c r="C38" i="160"/>
  <c r="E37" i="160"/>
  <c r="C37" i="160"/>
  <c r="E36" i="160"/>
  <c r="C36" i="160"/>
  <c r="E35" i="160"/>
  <c r="C35" i="160"/>
  <c r="E34" i="160"/>
  <c r="C34" i="160"/>
  <c r="E33" i="160"/>
  <c r="C33" i="160"/>
  <c r="E32" i="160"/>
  <c r="C32" i="160"/>
  <c r="E31" i="160"/>
  <c r="C31" i="160"/>
  <c r="E30" i="160"/>
  <c r="C30" i="160"/>
  <c r="E29" i="160"/>
  <c r="C29" i="160"/>
  <c r="E28" i="160"/>
  <c r="C28" i="160"/>
  <c r="E27" i="160"/>
  <c r="C27" i="160"/>
  <c r="E26" i="160"/>
  <c r="C26" i="160"/>
  <c r="E25" i="160"/>
  <c r="C25" i="160"/>
  <c r="E24" i="160"/>
  <c r="C24" i="160"/>
  <c r="E23" i="160"/>
  <c r="C23" i="160"/>
  <c r="E22" i="160"/>
  <c r="C22" i="160"/>
  <c r="E21" i="160"/>
  <c r="C21" i="160"/>
  <c r="E20" i="160"/>
  <c r="C20" i="160"/>
  <c r="E19" i="160"/>
  <c r="C19" i="160"/>
  <c r="E18" i="160"/>
  <c r="C18" i="160"/>
  <c r="E17" i="160"/>
  <c r="C17" i="160"/>
  <c r="E16" i="160"/>
  <c r="C16" i="160"/>
  <c r="E15" i="160"/>
  <c r="C15" i="160"/>
  <c r="E14" i="160"/>
  <c r="C14" i="160"/>
  <c r="E13" i="160"/>
  <c r="C13" i="160"/>
  <c r="E12" i="160"/>
  <c r="C12" i="160"/>
  <c r="E11" i="160"/>
  <c r="C11" i="160"/>
  <c r="E10" i="160"/>
  <c r="C10" i="160"/>
  <c r="E9" i="160"/>
  <c r="C9" i="160"/>
  <c r="B2" i="160"/>
  <c r="B3" i="160" s="1"/>
  <c r="E43" i="159"/>
  <c r="C43" i="159"/>
  <c r="E42" i="159"/>
  <c r="C42" i="159"/>
  <c r="E41" i="159"/>
  <c r="C41" i="159"/>
  <c r="E40" i="159"/>
  <c r="C40" i="159"/>
  <c r="E39" i="159"/>
  <c r="C39" i="159"/>
  <c r="E38" i="159"/>
  <c r="C38" i="159"/>
  <c r="E37" i="159"/>
  <c r="C37" i="159"/>
  <c r="E36" i="159"/>
  <c r="C36" i="159"/>
  <c r="E35" i="159"/>
  <c r="C35" i="159"/>
  <c r="E34" i="159"/>
  <c r="C34" i="159"/>
  <c r="E33" i="159"/>
  <c r="C33" i="159"/>
  <c r="E32" i="159"/>
  <c r="C32" i="159"/>
  <c r="E31" i="159"/>
  <c r="C31" i="159"/>
  <c r="E30" i="159"/>
  <c r="C30" i="159"/>
  <c r="E29" i="159"/>
  <c r="C29" i="159"/>
  <c r="E28" i="159"/>
  <c r="C28" i="159"/>
  <c r="E27" i="159"/>
  <c r="C27" i="159"/>
  <c r="E26" i="159"/>
  <c r="C26" i="159"/>
  <c r="E25" i="159"/>
  <c r="C25" i="159"/>
  <c r="E24" i="159"/>
  <c r="C24" i="159"/>
  <c r="E23" i="159"/>
  <c r="C23" i="159"/>
  <c r="E22" i="159"/>
  <c r="C22" i="159"/>
  <c r="E21" i="159"/>
  <c r="C21" i="159"/>
  <c r="E20" i="159"/>
  <c r="C20" i="159"/>
  <c r="E19" i="159"/>
  <c r="C19" i="159"/>
  <c r="E18" i="159"/>
  <c r="C18" i="159"/>
  <c r="E17" i="159"/>
  <c r="C17" i="159"/>
  <c r="E16" i="159"/>
  <c r="C16" i="159"/>
  <c r="E15" i="159"/>
  <c r="C15" i="159"/>
  <c r="E14" i="159"/>
  <c r="C14" i="159"/>
  <c r="E13" i="159"/>
  <c r="C13" i="159"/>
  <c r="E12" i="159"/>
  <c r="C12" i="159"/>
  <c r="E11" i="159"/>
  <c r="C11" i="159"/>
  <c r="E10" i="159"/>
  <c r="C10" i="159"/>
  <c r="E9" i="159"/>
  <c r="C9" i="159"/>
  <c r="B2" i="159"/>
  <c r="B3" i="159" s="1"/>
  <c r="E43" i="158"/>
  <c r="C43" i="158"/>
  <c r="E42" i="158"/>
  <c r="C42" i="158"/>
  <c r="E41" i="158"/>
  <c r="C41" i="158"/>
  <c r="E40" i="158"/>
  <c r="C40" i="158"/>
  <c r="E39" i="158"/>
  <c r="C39" i="158"/>
  <c r="E38" i="158"/>
  <c r="C38" i="158"/>
  <c r="E37" i="158"/>
  <c r="C37" i="158"/>
  <c r="E36" i="158"/>
  <c r="C36" i="158"/>
  <c r="E35" i="158"/>
  <c r="C35" i="158"/>
  <c r="E34" i="158"/>
  <c r="C34" i="158"/>
  <c r="E33" i="158"/>
  <c r="C33" i="158"/>
  <c r="E32" i="158"/>
  <c r="C32" i="158"/>
  <c r="E31" i="158"/>
  <c r="C31" i="158"/>
  <c r="E30" i="158"/>
  <c r="C30" i="158"/>
  <c r="E29" i="158"/>
  <c r="C29" i="158"/>
  <c r="E28" i="158"/>
  <c r="C28" i="158"/>
  <c r="E27" i="158"/>
  <c r="C27" i="158"/>
  <c r="E26" i="158"/>
  <c r="C26" i="158"/>
  <c r="E25" i="158"/>
  <c r="C25" i="158"/>
  <c r="E24" i="158"/>
  <c r="C24" i="158"/>
  <c r="E23" i="158"/>
  <c r="C23" i="158"/>
  <c r="E22" i="158"/>
  <c r="C22" i="158"/>
  <c r="E21" i="158"/>
  <c r="C21" i="158"/>
  <c r="E20" i="158"/>
  <c r="C20" i="158"/>
  <c r="E19" i="158"/>
  <c r="C19" i="158"/>
  <c r="E18" i="158"/>
  <c r="C18" i="158"/>
  <c r="E17" i="158"/>
  <c r="C17" i="158"/>
  <c r="E16" i="158"/>
  <c r="C16" i="158"/>
  <c r="E15" i="158"/>
  <c r="C15" i="158"/>
  <c r="E14" i="158"/>
  <c r="C14" i="158"/>
  <c r="E13" i="158"/>
  <c r="C13" i="158"/>
  <c r="E12" i="158"/>
  <c r="C12" i="158"/>
  <c r="E11" i="158"/>
  <c r="C11" i="158"/>
  <c r="E10" i="158"/>
  <c r="C10" i="158"/>
  <c r="E9" i="158"/>
  <c r="C9" i="158"/>
  <c r="B2" i="158"/>
  <c r="B3" i="158" s="1"/>
  <c r="E43" i="157"/>
  <c r="C43" i="157"/>
  <c r="E42" i="157"/>
  <c r="C42" i="157"/>
  <c r="E41" i="157"/>
  <c r="C41" i="157"/>
  <c r="E40" i="157"/>
  <c r="C40" i="157"/>
  <c r="E39" i="157"/>
  <c r="C39" i="157"/>
  <c r="E38" i="157"/>
  <c r="C38" i="157"/>
  <c r="E37" i="157"/>
  <c r="C37" i="157"/>
  <c r="E36" i="157"/>
  <c r="C36" i="157"/>
  <c r="E35" i="157"/>
  <c r="C35" i="157"/>
  <c r="E34" i="157"/>
  <c r="C34" i="157"/>
  <c r="E33" i="157"/>
  <c r="C33" i="157"/>
  <c r="E32" i="157"/>
  <c r="C32" i="157"/>
  <c r="E31" i="157"/>
  <c r="C31" i="157"/>
  <c r="E30" i="157"/>
  <c r="C30" i="157"/>
  <c r="E29" i="157"/>
  <c r="C29" i="157"/>
  <c r="E28" i="157"/>
  <c r="C28" i="157"/>
  <c r="E27" i="157"/>
  <c r="C27" i="157"/>
  <c r="E26" i="157"/>
  <c r="C26" i="157"/>
  <c r="E25" i="157"/>
  <c r="C25" i="157"/>
  <c r="E24" i="157"/>
  <c r="C24" i="157"/>
  <c r="E23" i="157"/>
  <c r="C23" i="157"/>
  <c r="E22" i="157"/>
  <c r="C22" i="157"/>
  <c r="E21" i="157"/>
  <c r="C21" i="157"/>
  <c r="E20" i="157"/>
  <c r="C20" i="157"/>
  <c r="E19" i="157"/>
  <c r="C19" i="157"/>
  <c r="E18" i="157"/>
  <c r="C18" i="157"/>
  <c r="E17" i="157"/>
  <c r="C17" i="157"/>
  <c r="E16" i="157"/>
  <c r="C16" i="157"/>
  <c r="E15" i="157"/>
  <c r="C15" i="157"/>
  <c r="E14" i="157"/>
  <c r="C14" i="157"/>
  <c r="E13" i="157"/>
  <c r="C13" i="157"/>
  <c r="E12" i="157"/>
  <c r="C12" i="157"/>
  <c r="E11" i="157"/>
  <c r="C11" i="157"/>
  <c r="E10" i="157"/>
  <c r="C10" i="157"/>
  <c r="E9" i="157"/>
  <c r="C9" i="157"/>
  <c r="B2" i="157"/>
  <c r="B3" i="157" s="1"/>
  <c r="E43" i="156"/>
  <c r="C43" i="156"/>
  <c r="E42" i="156"/>
  <c r="C42" i="156"/>
  <c r="E41" i="156"/>
  <c r="C41" i="156"/>
  <c r="E40" i="156"/>
  <c r="C40" i="156"/>
  <c r="E39" i="156"/>
  <c r="C39" i="156"/>
  <c r="E38" i="156"/>
  <c r="C38" i="156"/>
  <c r="E37" i="156"/>
  <c r="C37" i="156"/>
  <c r="E36" i="156"/>
  <c r="C36" i="156"/>
  <c r="E35" i="156"/>
  <c r="C35" i="156"/>
  <c r="E34" i="156"/>
  <c r="C34" i="156"/>
  <c r="E33" i="156"/>
  <c r="C33" i="156"/>
  <c r="E32" i="156"/>
  <c r="C32" i="156"/>
  <c r="E31" i="156"/>
  <c r="C31" i="156"/>
  <c r="E30" i="156"/>
  <c r="C30" i="156"/>
  <c r="E29" i="156"/>
  <c r="C29" i="156"/>
  <c r="E28" i="156"/>
  <c r="C28" i="156"/>
  <c r="E27" i="156"/>
  <c r="C27" i="156"/>
  <c r="E26" i="156"/>
  <c r="C26" i="156"/>
  <c r="E25" i="156"/>
  <c r="C25" i="156"/>
  <c r="E24" i="156"/>
  <c r="C24" i="156"/>
  <c r="E23" i="156"/>
  <c r="C23" i="156"/>
  <c r="E22" i="156"/>
  <c r="C22" i="156"/>
  <c r="E21" i="156"/>
  <c r="C21" i="156"/>
  <c r="E20" i="156"/>
  <c r="C20" i="156"/>
  <c r="E19" i="156"/>
  <c r="C19" i="156"/>
  <c r="E18" i="156"/>
  <c r="C18" i="156"/>
  <c r="E17" i="156"/>
  <c r="C17" i="156"/>
  <c r="E16" i="156"/>
  <c r="C16" i="156"/>
  <c r="E15" i="156"/>
  <c r="C15" i="156"/>
  <c r="E14" i="156"/>
  <c r="C14" i="156"/>
  <c r="E13" i="156"/>
  <c r="C13" i="156"/>
  <c r="E12" i="156"/>
  <c r="C12" i="156"/>
  <c r="E11" i="156"/>
  <c r="C11" i="156"/>
  <c r="E10" i="156"/>
  <c r="C10" i="156"/>
  <c r="E9" i="156"/>
  <c r="C9" i="156"/>
  <c r="B2" i="156"/>
  <c r="B4" i="156" s="1"/>
  <c r="E43" i="155"/>
  <c r="C43" i="155"/>
  <c r="E42" i="155"/>
  <c r="C42" i="155"/>
  <c r="E41" i="155"/>
  <c r="C41" i="155"/>
  <c r="E40" i="155"/>
  <c r="C40" i="155"/>
  <c r="E39" i="155"/>
  <c r="C39" i="155"/>
  <c r="E38" i="155"/>
  <c r="C38" i="155"/>
  <c r="E37" i="155"/>
  <c r="C37" i="155"/>
  <c r="E36" i="155"/>
  <c r="C36" i="155"/>
  <c r="E35" i="155"/>
  <c r="C35" i="155"/>
  <c r="E34" i="155"/>
  <c r="C34" i="155"/>
  <c r="E33" i="155"/>
  <c r="C33" i="155"/>
  <c r="E32" i="155"/>
  <c r="C32" i="155"/>
  <c r="E31" i="155"/>
  <c r="C31" i="155"/>
  <c r="E30" i="155"/>
  <c r="C30" i="155"/>
  <c r="E29" i="155"/>
  <c r="C29" i="155"/>
  <c r="E28" i="155"/>
  <c r="C28" i="155"/>
  <c r="E27" i="155"/>
  <c r="C27" i="155"/>
  <c r="E26" i="155"/>
  <c r="C26" i="155"/>
  <c r="E25" i="155"/>
  <c r="C25" i="155"/>
  <c r="E24" i="155"/>
  <c r="C24" i="155"/>
  <c r="E23" i="155"/>
  <c r="C23" i="155"/>
  <c r="E22" i="155"/>
  <c r="C22" i="155"/>
  <c r="E21" i="155"/>
  <c r="C21" i="155"/>
  <c r="E20" i="155"/>
  <c r="C20" i="155"/>
  <c r="E19" i="155"/>
  <c r="C19" i="155"/>
  <c r="E18" i="155"/>
  <c r="C18" i="155"/>
  <c r="E17" i="155"/>
  <c r="C17" i="155"/>
  <c r="E16" i="155"/>
  <c r="C16" i="155"/>
  <c r="E15" i="155"/>
  <c r="C15" i="155"/>
  <c r="E14" i="155"/>
  <c r="C14" i="155"/>
  <c r="E13" i="155"/>
  <c r="C13" i="155"/>
  <c r="E12" i="155"/>
  <c r="C12" i="155"/>
  <c r="E11" i="155"/>
  <c r="C11" i="155"/>
  <c r="E10" i="155"/>
  <c r="C10" i="155"/>
  <c r="E9" i="155"/>
  <c r="C9" i="155"/>
  <c r="B2" i="155"/>
  <c r="B3" i="155" s="1"/>
  <c r="E43" i="154"/>
  <c r="C43" i="154"/>
  <c r="E42" i="154"/>
  <c r="C42" i="154"/>
  <c r="E41" i="154"/>
  <c r="C41" i="154"/>
  <c r="E40" i="154"/>
  <c r="C40" i="154"/>
  <c r="E39" i="154"/>
  <c r="C39" i="154"/>
  <c r="E38" i="154"/>
  <c r="C38" i="154"/>
  <c r="E37" i="154"/>
  <c r="C37" i="154"/>
  <c r="E36" i="154"/>
  <c r="C36" i="154"/>
  <c r="E35" i="154"/>
  <c r="C35" i="154"/>
  <c r="E34" i="154"/>
  <c r="C34" i="154"/>
  <c r="E33" i="154"/>
  <c r="C33" i="154"/>
  <c r="E32" i="154"/>
  <c r="C32" i="154"/>
  <c r="E31" i="154"/>
  <c r="C31" i="154"/>
  <c r="E30" i="154"/>
  <c r="C30" i="154"/>
  <c r="E29" i="154"/>
  <c r="C29" i="154"/>
  <c r="E28" i="154"/>
  <c r="C28" i="154"/>
  <c r="E27" i="154"/>
  <c r="C27" i="154"/>
  <c r="E26" i="154"/>
  <c r="C26" i="154"/>
  <c r="E25" i="154"/>
  <c r="C25" i="154"/>
  <c r="E24" i="154"/>
  <c r="C24" i="154"/>
  <c r="E23" i="154"/>
  <c r="C23" i="154"/>
  <c r="E22" i="154"/>
  <c r="C22" i="154"/>
  <c r="E21" i="154"/>
  <c r="C21" i="154"/>
  <c r="E20" i="154"/>
  <c r="C20" i="154"/>
  <c r="E19" i="154"/>
  <c r="C19" i="154"/>
  <c r="E18" i="154"/>
  <c r="C18" i="154"/>
  <c r="E17" i="154"/>
  <c r="C17" i="154"/>
  <c r="E16" i="154"/>
  <c r="C16" i="154"/>
  <c r="E15" i="154"/>
  <c r="C15" i="154"/>
  <c r="E14" i="154"/>
  <c r="C14" i="154"/>
  <c r="E13" i="154"/>
  <c r="C13" i="154"/>
  <c r="E12" i="154"/>
  <c r="C12" i="154"/>
  <c r="E11" i="154"/>
  <c r="C11" i="154"/>
  <c r="E10" i="154"/>
  <c r="C10" i="154"/>
  <c r="E9" i="154"/>
  <c r="C9" i="154"/>
  <c r="B2" i="154"/>
  <c r="B3" i="154" s="1"/>
  <c r="E43" i="153"/>
  <c r="C43" i="153"/>
  <c r="E42" i="153"/>
  <c r="C42" i="153"/>
  <c r="E41" i="153"/>
  <c r="C41" i="153"/>
  <c r="E40" i="153"/>
  <c r="C40" i="153"/>
  <c r="E39" i="153"/>
  <c r="C39" i="153"/>
  <c r="E38" i="153"/>
  <c r="C38" i="153"/>
  <c r="E37" i="153"/>
  <c r="C37" i="153"/>
  <c r="E36" i="153"/>
  <c r="C36" i="153"/>
  <c r="E35" i="153"/>
  <c r="C35" i="153"/>
  <c r="E34" i="153"/>
  <c r="C34" i="153"/>
  <c r="E33" i="153"/>
  <c r="C33" i="153"/>
  <c r="E32" i="153"/>
  <c r="C32" i="153"/>
  <c r="E31" i="153"/>
  <c r="C31" i="153"/>
  <c r="E30" i="153"/>
  <c r="C30" i="153"/>
  <c r="E29" i="153"/>
  <c r="C29" i="153"/>
  <c r="E28" i="153"/>
  <c r="C28" i="153"/>
  <c r="E27" i="153"/>
  <c r="C27" i="153"/>
  <c r="E26" i="153"/>
  <c r="C26" i="153"/>
  <c r="E25" i="153"/>
  <c r="C25" i="153"/>
  <c r="E24" i="153"/>
  <c r="C24" i="153"/>
  <c r="E23" i="153"/>
  <c r="C23" i="153"/>
  <c r="E22" i="153"/>
  <c r="C22" i="153"/>
  <c r="E21" i="153"/>
  <c r="C21" i="153"/>
  <c r="E20" i="153"/>
  <c r="C20" i="153"/>
  <c r="E19" i="153"/>
  <c r="C19" i="153"/>
  <c r="E18" i="153"/>
  <c r="C18" i="153"/>
  <c r="E17" i="153"/>
  <c r="C17" i="153"/>
  <c r="E16" i="153"/>
  <c r="C16" i="153"/>
  <c r="E15" i="153"/>
  <c r="C15" i="153"/>
  <c r="E14" i="153"/>
  <c r="C14" i="153"/>
  <c r="E13" i="153"/>
  <c r="C13" i="153"/>
  <c r="E12" i="153"/>
  <c r="C12" i="153"/>
  <c r="E11" i="153"/>
  <c r="C11" i="153"/>
  <c r="E10" i="153"/>
  <c r="C10" i="153"/>
  <c r="E9" i="153"/>
  <c r="C9" i="153"/>
  <c r="B2" i="153"/>
  <c r="B3" i="153" s="1"/>
  <c r="E43" i="152"/>
  <c r="C43" i="152"/>
  <c r="E42" i="152"/>
  <c r="C42" i="152"/>
  <c r="E41" i="152"/>
  <c r="C41" i="152"/>
  <c r="E40" i="152"/>
  <c r="C40" i="152"/>
  <c r="E39" i="152"/>
  <c r="C39" i="152"/>
  <c r="E38" i="152"/>
  <c r="C38" i="152"/>
  <c r="E37" i="152"/>
  <c r="C37" i="152"/>
  <c r="E36" i="152"/>
  <c r="C36" i="152"/>
  <c r="E35" i="152"/>
  <c r="C35" i="152"/>
  <c r="E34" i="152"/>
  <c r="C34" i="152"/>
  <c r="E33" i="152"/>
  <c r="C33" i="152"/>
  <c r="E32" i="152"/>
  <c r="C32" i="152"/>
  <c r="E31" i="152"/>
  <c r="C31" i="152"/>
  <c r="E30" i="152"/>
  <c r="C30" i="152"/>
  <c r="E29" i="152"/>
  <c r="C29" i="152"/>
  <c r="E28" i="152"/>
  <c r="C28" i="152"/>
  <c r="E27" i="152"/>
  <c r="C27" i="152"/>
  <c r="E26" i="152"/>
  <c r="C26" i="152"/>
  <c r="E25" i="152"/>
  <c r="C25" i="152"/>
  <c r="E24" i="152"/>
  <c r="C24" i="152"/>
  <c r="E23" i="152"/>
  <c r="C23" i="152"/>
  <c r="E22" i="152"/>
  <c r="C22" i="152"/>
  <c r="E21" i="152"/>
  <c r="C21" i="152"/>
  <c r="E20" i="152"/>
  <c r="C20" i="152"/>
  <c r="E19" i="152"/>
  <c r="C19" i="152"/>
  <c r="E18" i="152"/>
  <c r="C18" i="152"/>
  <c r="E17" i="152"/>
  <c r="C17" i="152"/>
  <c r="E16" i="152"/>
  <c r="C16" i="152"/>
  <c r="E15" i="152"/>
  <c r="C15" i="152"/>
  <c r="E14" i="152"/>
  <c r="C14" i="152"/>
  <c r="E13" i="152"/>
  <c r="C13" i="152"/>
  <c r="E12" i="152"/>
  <c r="C12" i="152"/>
  <c r="E11" i="152"/>
  <c r="C11" i="152"/>
  <c r="E10" i="152"/>
  <c r="C10" i="152"/>
  <c r="E9" i="152"/>
  <c r="C9" i="152"/>
  <c r="B2" i="152"/>
  <c r="B3" i="152" s="1"/>
  <c r="E43" i="151"/>
  <c r="C43" i="151"/>
  <c r="E42" i="151"/>
  <c r="C42" i="151"/>
  <c r="E41" i="151"/>
  <c r="C41" i="151"/>
  <c r="E40" i="151"/>
  <c r="C40" i="151"/>
  <c r="E39" i="151"/>
  <c r="C39" i="151"/>
  <c r="E38" i="151"/>
  <c r="C38" i="151"/>
  <c r="E37" i="151"/>
  <c r="C37" i="151"/>
  <c r="E36" i="151"/>
  <c r="C36" i="151"/>
  <c r="E35" i="151"/>
  <c r="C35" i="151"/>
  <c r="E34" i="151"/>
  <c r="C34" i="151"/>
  <c r="E33" i="151"/>
  <c r="C33" i="151"/>
  <c r="E32" i="151"/>
  <c r="C32" i="151"/>
  <c r="E31" i="151"/>
  <c r="C31" i="151"/>
  <c r="E30" i="151"/>
  <c r="C30" i="151"/>
  <c r="E29" i="151"/>
  <c r="C29" i="151"/>
  <c r="E28" i="151"/>
  <c r="C28" i="151"/>
  <c r="E27" i="151"/>
  <c r="C27" i="151"/>
  <c r="E26" i="151"/>
  <c r="C26" i="151"/>
  <c r="E25" i="151"/>
  <c r="C25" i="151"/>
  <c r="E24" i="151"/>
  <c r="C24" i="151"/>
  <c r="E23" i="151"/>
  <c r="C23" i="151"/>
  <c r="E22" i="151"/>
  <c r="C22" i="151"/>
  <c r="E21" i="151"/>
  <c r="C21" i="151"/>
  <c r="E20" i="151"/>
  <c r="C20" i="151"/>
  <c r="E19" i="151"/>
  <c r="C19" i="151"/>
  <c r="E18" i="151"/>
  <c r="C18" i="151"/>
  <c r="E17" i="151"/>
  <c r="C17" i="151"/>
  <c r="E16" i="151"/>
  <c r="C16" i="151"/>
  <c r="E15" i="151"/>
  <c r="C15" i="151"/>
  <c r="E14" i="151"/>
  <c r="C14" i="151"/>
  <c r="E13" i="151"/>
  <c r="C13" i="151"/>
  <c r="E12" i="151"/>
  <c r="C12" i="151"/>
  <c r="E11" i="151"/>
  <c r="C11" i="151"/>
  <c r="E10" i="151"/>
  <c r="C10" i="151"/>
  <c r="E9" i="151"/>
  <c r="C9" i="151"/>
  <c r="B2" i="151"/>
  <c r="B5" i="151" s="1"/>
  <c r="E43" i="150"/>
  <c r="C43" i="150"/>
  <c r="E42" i="150"/>
  <c r="C42" i="150"/>
  <c r="E41" i="150"/>
  <c r="C41" i="150"/>
  <c r="E40" i="150"/>
  <c r="C40" i="150"/>
  <c r="E39" i="150"/>
  <c r="C39" i="150"/>
  <c r="E38" i="150"/>
  <c r="C38" i="150"/>
  <c r="E37" i="150"/>
  <c r="C37" i="150"/>
  <c r="E36" i="150"/>
  <c r="C36" i="150"/>
  <c r="E35" i="150"/>
  <c r="C35" i="150"/>
  <c r="E34" i="150"/>
  <c r="C34" i="150"/>
  <c r="E33" i="150"/>
  <c r="C33" i="150"/>
  <c r="E32" i="150"/>
  <c r="C32" i="150"/>
  <c r="E31" i="150"/>
  <c r="C31" i="150"/>
  <c r="E30" i="150"/>
  <c r="C30" i="150"/>
  <c r="E29" i="150"/>
  <c r="C29" i="150"/>
  <c r="E28" i="150"/>
  <c r="C28" i="150"/>
  <c r="E27" i="150"/>
  <c r="C27" i="150"/>
  <c r="E26" i="150"/>
  <c r="C26" i="150"/>
  <c r="E25" i="150"/>
  <c r="C25" i="150"/>
  <c r="E24" i="150"/>
  <c r="C24" i="150"/>
  <c r="E23" i="150"/>
  <c r="C23" i="150"/>
  <c r="E22" i="150"/>
  <c r="C22" i="150"/>
  <c r="E21" i="150"/>
  <c r="C21" i="150"/>
  <c r="E20" i="150"/>
  <c r="C20" i="150"/>
  <c r="E19" i="150"/>
  <c r="C19" i="150"/>
  <c r="E18" i="150"/>
  <c r="C18" i="150"/>
  <c r="E17" i="150"/>
  <c r="C17" i="150"/>
  <c r="E16" i="150"/>
  <c r="C16" i="150"/>
  <c r="E15" i="150"/>
  <c r="C15" i="150"/>
  <c r="E14" i="150"/>
  <c r="C14" i="150"/>
  <c r="E13" i="150"/>
  <c r="C13" i="150"/>
  <c r="E12" i="150"/>
  <c r="C12" i="150"/>
  <c r="E11" i="150"/>
  <c r="C11" i="150"/>
  <c r="E10" i="150"/>
  <c r="C10" i="150"/>
  <c r="E9" i="150"/>
  <c r="C9" i="150"/>
  <c r="B2" i="150"/>
  <c r="B3" i="150" s="1"/>
  <c r="E43" i="149"/>
  <c r="C43" i="149"/>
  <c r="E42" i="149"/>
  <c r="C42" i="149"/>
  <c r="E41" i="149"/>
  <c r="C41" i="149"/>
  <c r="E40" i="149"/>
  <c r="C40" i="149"/>
  <c r="E39" i="149"/>
  <c r="C39" i="149"/>
  <c r="E38" i="149"/>
  <c r="C38" i="149"/>
  <c r="E37" i="149"/>
  <c r="C37" i="149"/>
  <c r="E36" i="149"/>
  <c r="C36" i="149"/>
  <c r="E35" i="149"/>
  <c r="C35" i="149"/>
  <c r="E34" i="149"/>
  <c r="C34" i="149"/>
  <c r="E33" i="149"/>
  <c r="C33" i="149"/>
  <c r="E32" i="149"/>
  <c r="C32" i="149"/>
  <c r="E31" i="149"/>
  <c r="C31" i="149"/>
  <c r="E30" i="149"/>
  <c r="C30" i="149"/>
  <c r="E29" i="149"/>
  <c r="C29" i="149"/>
  <c r="E28" i="149"/>
  <c r="C28" i="149"/>
  <c r="E27" i="149"/>
  <c r="C27" i="149"/>
  <c r="E26" i="149"/>
  <c r="C26" i="149"/>
  <c r="E25" i="149"/>
  <c r="C25" i="149"/>
  <c r="E24" i="149"/>
  <c r="C24" i="149"/>
  <c r="E23" i="149"/>
  <c r="C23" i="149"/>
  <c r="E22" i="149"/>
  <c r="C22" i="149"/>
  <c r="E21" i="149"/>
  <c r="C21" i="149"/>
  <c r="E20" i="149"/>
  <c r="C20" i="149"/>
  <c r="E19" i="149"/>
  <c r="C19" i="149"/>
  <c r="E18" i="149"/>
  <c r="C18" i="149"/>
  <c r="E17" i="149"/>
  <c r="C17" i="149"/>
  <c r="E16" i="149"/>
  <c r="C16" i="149"/>
  <c r="E15" i="149"/>
  <c r="C15" i="149"/>
  <c r="E14" i="149"/>
  <c r="C14" i="149"/>
  <c r="E13" i="149"/>
  <c r="C13" i="149"/>
  <c r="E12" i="149"/>
  <c r="C12" i="149"/>
  <c r="E11" i="149"/>
  <c r="C11" i="149"/>
  <c r="E10" i="149"/>
  <c r="C10" i="149"/>
  <c r="E9" i="149"/>
  <c r="C9" i="149"/>
  <c r="B2" i="149"/>
  <c r="B3" i="149" s="1"/>
  <c r="E43" i="148"/>
  <c r="C43" i="148"/>
  <c r="E42" i="148"/>
  <c r="C42" i="148"/>
  <c r="E41" i="148"/>
  <c r="C41" i="148"/>
  <c r="E40" i="148"/>
  <c r="C40" i="148"/>
  <c r="E39" i="148"/>
  <c r="C39" i="148"/>
  <c r="E38" i="148"/>
  <c r="C38" i="148"/>
  <c r="E37" i="148"/>
  <c r="C37" i="148"/>
  <c r="E36" i="148"/>
  <c r="C36" i="148"/>
  <c r="E35" i="148"/>
  <c r="C35" i="148"/>
  <c r="E34" i="148"/>
  <c r="C34" i="148"/>
  <c r="E33" i="148"/>
  <c r="C33" i="148"/>
  <c r="E32" i="148"/>
  <c r="C32" i="148"/>
  <c r="E31" i="148"/>
  <c r="C31" i="148"/>
  <c r="E30" i="148"/>
  <c r="C30" i="148"/>
  <c r="E29" i="148"/>
  <c r="C29" i="148"/>
  <c r="E28" i="148"/>
  <c r="C28" i="148"/>
  <c r="E27" i="148"/>
  <c r="C27" i="148"/>
  <c r="E26" i="148"/>
  <c r="C26" i="148"/>
  <c r="E25" i="148"/>
  <c r="C25" i="148"/>
  <c r="E24" i="148"/>
  <c r="C24" i="148"/>
  <c r="E23" i="148"/>
  <c r="C23" i="148"/>
  <c r="E22" i="148"/>
  <c r="C22" i="148"/>
  <c r="E21" i="148"/>
  <c r="C21" i="148"/>
  <c r="E20" i="148"/>
  <c r="C20" i="148"/>
  <c r="E19" i="148"/>
  <c r="C19" i="148"/>
  <c r="E18" i="148"/>
  <c r="C18" i="148"/>
  <c r="E17" i="148"/>
  <c r="C17" i="148"/>
  <c r="E16" i="148"/>
  <c r="C16" i="148"/>
  <c r="E15" i="148"/>
  <c r="C15" i="148"/>
  <c r="E14" i="148"/>
  <c r="C14" i="148"/>
  <c r="E13" i="148"/>
  <c r="C13" i="148"/>
  <c r="E12" i="148"/>
  <c r="C12" i="148"/>
  <c r="E11" i="148"/>
  <c r="C11" i="148"/>
  <c r="E10" i="148"/>
  <c r="C10" i="148"/>
  <c r="E9" i="148"/>
  <c r="C9" i="148"/>
  <c r="B2" i="148"/>
  <c r="B3" i="148" s="1"/>
  <c r="E43" i="147"/>
  <c r="C43" i="147"/>
  <c r="E42" i="147"/>
  <c r="C42" i="147"/>
  <c r="E41" i="147"/>
  <c r="C41" i="147"/>
  <c r="E40" i="147"/>
  <c r="C40" i="147"/>
  <c r="E39" i="147"/>
  <c r="C39" i="147"/>
  <c r="E38" i="147"/>
  <c r="C38" i="147"/>
  <c r="E37" i="147"/>
  <c r="C37" i="147"/>
  <c r="E36" i="147"/>
  <c r="C36" i="147"/>
  <c r="E35" i="147"/>
  <c r="C35" i="147"/>
  <c r="E34" i="147"/>
  <c r="C34" i="147"/>
  <c r="E33" i="147"/>
  <c r="C33" i="147"/>
  <c r="E32" i="147"/>
  <c r="C32" i="147"/>
  <c r="E31" i="147"/>
  <c r="C31" i="147"/>
  <c r="E30" i="147"/>
  <c r="C30" i="147"/>
  <c r="E29" i="147"/>
  <c r="C29" i="147"/>
  <c r="E28" i="147"/>
  <c r="C28" i="147"/>
  <c r="E27" i="147"/>
  <c r="C27" i="147"/>
  <c r="E26" i="147"/>
  <c r="C26" i="147"/>
  <c r="E25" i="147"/>
  <c r="C25" i="147"/>
  <c r="E24" i="147"/>
  <c r="C24" i="147"/>
  <c r="E23" i="147"/>
  <c r="C23" i="147"/>
  <c r="E22" i="147"/>
  <c r="C22" i="147"/>
  <c r="E21" i="147"/>
  <c r="C21" i="147"/>
  <c r="E20" i="147"/>
  <c r="C20" i="147"/>
  <c r="E19" i="147"/>
  <c r="C19" i="147"/>
  <c r="E18" i="147"/>
  <c r="C18" i="147"/>
  <c r="E17" i="147"/>
  <c r="C17" i="147"/>
  <c r="E16" i="147"/>
  <c r="C16" i="147"/>
  <c r="E15" i="147"/>
  <c r="C15" i="147"/>
  <c r="E14" i="147"/>
  <c r="C14" i="147"/>
  <c r="E13" i="147"/>
  <c r="C13" i="147"/>
  <c r="E12" i="147"/>
  <c r="C12" i="147"/>
  <c r="E11" i="147"/>
  <c r="C11" i="147"/>
  <c r="E10" i="147"/>
  <c r="C10" i="147"/>
  <c r="E9" i="147"/>
  <c r="C9" i="147"/>
  <c r="B2" i="147"/>
  <c r="B3" i="147" s="1"/>
  <c r="E43" i="146"/>
  <c r="C43" i="146"/>
  <c r="E42" i="146"/>
  <c r="C42" i="146"/>
  <c r="E41" i="146"/>
  <c r="C41" i="146"/>
  <c r="E40" i="146"/>
  <c r="C40" i="146"/>
  <c r="E39" i="146"/>
  <c r="C39" i="146"/>
  <c r="E38" i="146"/>
  <c r="C38" i="146"/>
  <c r="E37" i="146"/>
  <c r="C37" i="146"/>
  <c r="E36" i="146"/>
  <c r="C36" i="146"/>
  <c r="E35" i="146"/>
  <c r="C35" i="146"/>
  <c r="E34" i="146"/>
  <c r="C34" i="146"/>
  <c r="E33" i="146"/>
  <c r="C33" i="146"/>
  <c r="E32" i="146"/>
  <c r="C32" i="146"/>
  <c r="E31" i="146"/>
  <c r="C31" i="146"/>
  <c r="E30" i="146"/>
  <c r="C30" i="146"/>
  <c r="E29" i="146"/>
  <c r="C29" i="146"/>
  <c r="E28" i="146"/>
  <c r="C28" i="146"/>
  <c r="E27" i="146"/>
  <c r="C27" i="146"/>
  <c r="E26" i="146"/>
  <c r="C26" i="146"/>
  <c r="E25" i="146"/>
  <c r="C25" i="146"/>
  <c r="E24" i="146"/>
  <c r="C24" i="146"/>
  <c r="E23" i="146"/>
  <c r="C23" i="146"/>
  <c r="E22" i="146"/>
  <c r="C22" i="146"/>
  <c r="E21" i="146"/>
  <c r="C21" i="146"/>
  <c r="E20" i="146"/>
  <c r="C20" i="146"/>
  <c r="E19" i="146"/>
  <c r="C19" i="146"/>
  <c r="E18" i="146"/>
  <c r="C18" i="146"/>
  <c r="E17" i="146"/>
  <c r="C17" i="146"/>
  <c r="E16" i="146"/>
  <c r="C16" i="146"/>
  <c r="E15" i="146"/>
  <c r="C15" i="146"/>
  <c r="E14" i="146"/>
  <c r="C14" i="146"/>
  <c r="E13" i="146"/>
  <c r="C13" i="146"/>
  <c r="E12" i="146"/>
  <c r="C12" i="146"/>
  <c r="E11" i="146"/>
  <c r="C11" i="146"/>
  <c r="E10" i="146"/>
  <c r="C10" i="146"/>
  <c r="E9" i="146"/>
  <c r="C9" i="146"/>
  <c r="B2" i="146"/>
  <c r="B3" i="146" s="1"/>
  <c r="E43" i="145"/>
  <c r="C43" i="145"/>
  <c r="E42" i="145"/>
  <c r="C42" i="145"/>
  <c r="E41" i="145"/>
  <c r="C41" i="145"/>
  <c r="E40" i="145"/>
  <c r="C40" i="145"/>
  <c r="E39" i="145"/>
  <c r="C39" i="145"/>
  <c r="E38" i="145"/>
  <c r="C38" i="145"/>
  <c r="E37" i="145"/>
  <c r="C37" i="145"/>
  <c r="E36" i="145"/>
  <c r="C36" i="145"/>
  <c r="E35" i="145"/>
  <c r="C35" i="145"/>
  <c r="E34" i="145"/>
  <c r="C34" i="145"/>
  <c r="E33" i="145"/>
  <c r="C33" i="145"/>
  <c r="E32" i="145"/>
  <c r="C32" i="145"/>
  <c r="E31" i="145"/>
  <c r="C31" i="145"/>
  <c r="E30" i="145"/>
  <c r="C30" i="145"/>
  <c r="E29" i="145"/>
  <c r="C29" i="145"/>
  <c r="E28" i="145"/>
  <c r="C28" i="145"/>
  <c r="E27" i="145"/>
  <c r="C27" i="145"/>
  <c r="E26" i="145"/>
  <c r="C26" i="145"/>
  <c r="E25" i="145"/>
  <c r="C25" i="145"/>
  <c r="E24" i="145"/>
  <c r="C24" i="145"/>
  <c r="E23" i="145"/>
  <c r="C23" i="145"/>
  <c r="E22" i="145"/>
  <c r="C22" i="145"/>
  <c r="E21" i="145"/>
  <c r="C21" i="145"/>
  <c r="E20" i="145"/>
  <c r="C20" i="145"/>
  <c r="E19" i="145"/>
  <c r="C19" i="145"/>
  <c r="E18" i="145"/>
  <c r="C18" i="145"/>
  <c r="E17" i="145"/>
  <c r="C17" i="145"/>
  <c r="E16" i="145"/>
  <c r="C16" i="145"/>
  <c r="E15" i="145"/>
  <c r="C15" i="145"/>
  <c r="E14" i="145"/>
  <c r="C14" i="145"/>
  <c r="E13" i="145"/>
  <c r="C13" i="145"/>
  <c r="E12" i="145"/>
  <c r="C12" i="145"/>
  <c r="E11" i="145"/>
  <c r="C11" i="145"/>
  <c r="E10" i="145"/>
  <c r="C10" i="145"/>
  <c r="E9" i="145"/>
  <c r="C9" i="145"/>
  <c r="B2" i="145"/>
  <c r="B3" i="145" s="1"/>
  <c r="E43" i="144"/>
  <c r="C43" i="144"/>
  <c r="E42" i="144"/>
  <c r="C42" i="144"/>
  <c r="E41" i="144"/>
  <c r="C41" i="144"/>
  <c r="E40" i="144"/>
  <c r="C40" i="144"/>
  <c r="E39" i="144"/>
  <c r="C39" i="144"/>
  <c r="E38" i="144"/>
  <c r="C38" i="144"/>
  <c r="E37" i="144"/>
  <c r="C37" i="144"/>
  <c r="E36" i="144"/>
  <c r="C36" i="144"/>
  <c r="E35" i="144"/>
  <c r="C35" i="144"/>
  <c r="E34" i="144"/>
  <c r="C34" i="144"/>
  <c r="E33" i="144"/>
  <c r="C33" i="144"/>
  <c r="E32" i="144"/>
  <c r="C32" i="144"/>
  <c r="E31" i="144"/>
  <c r="C31" i="144"/>
  <c r="E30" i="144"/>
  <c r="C30" i="144"/>
  <c r="E29" i="144"/>
  <c r="C29" i="144"/>
  <c r="E28" i="144"/>
  <c r="C28" i="144"/>
  <c r="E27" i="144"/>
  <c r="C27" i="144"/>
  <c r="E26" i="144"/>
  <c r="C26" i="144"/>
  <c r="E25" i="144"/>
  <c r="C25" i="144"/>
  <c r="E24" i="144"/>
  <c r="C24" i="144"/>
  <c r="E23" i="144"/>
  <c r="C23" i="144"/>
  <c r="E22" i="144"/>
  <c r="C22" i="144"/>
  <c r="E21" i="144"/>
  <c r="C21" i="144"/>
  <c r="E20" i="144"/>
  <c r="C20" i="144"/>
  <c r="E19" i="144"/>
  <c r="C19" i="144"/>
  <c r="E18" i="144"/>
  <c r="C18" i="144"/>
  <c r="E17" i="144"/>
  <c r="C17" i="144"/>
  <c r="E16" i="144"/>
  <c r="C16" i="144"/>
  <c r="E15" i="144"/>
  <c r="C15" i="144"/>
  <c r="E14" i="144"/>
  <c r="C14" i="144"/>
  <c r="E13" i="144"/>
  <c r="C13" i="144"/>
  <c r="E12" i="144"/>
  <c r="C12" i="144"/>
  <c r="E11" i="144"/>
  <c r="C11" i="144"/>
  <c r="E10" i="144"/>
  <c r="C10" i="144"/>
  <c r="E9" i="144"/>
  <c r="C9" i="144"/>
  <c r="B2" i="144"/>
  <c r="B3" i="144" s="1"/>
  <c r="E43" i="143"/>
  <c r="C43" i="143"/>
  <c r="E42" i="143"/>
  <c r="C42" i="143"/>
  <c r="E41" i="143"/>
  <c r="C41" i="143"/>
  <c r="E40" i="143"/>
  <c r="C40" i="143"/>
  <c r="E39" i="143"/>
  <c r="C39" i="143"/>
  <c r="E38" i="143"/>
  <c r="C38" i="143"/>
  <c r="E37" i="143"/>
  <c r="C37" i="143"/>
  <c r="E36" i="143"/>
  <c r="C36" i="143"/>
  <c r="E35" i="143"/>
  <c r="C35" i="143"/>
  <c r="E34" i="143"/>
  <c r="C34" i="143"/>
  <c r="E33" i="143"/>
  <c r="C33" i="143"/>
  <c r="E32" i="143"/>
  <c r="C32" i="143"/>
  <c r="E31" i="143"/>
  <c r="C31" i="143"/>
  <c r="E30" i="143"/>
  <c r="C30" i="143"/>
  <c r="E29" i="143"/>
  <c r="C29" i="143"/>
  <c r="E28" i="143"/>
  <c r="C28" i="143"/>
  <c r="E27" i="143"/>
  <c r="C27" i="143"/>
  <c r="E26" i="143"/>
  <c r="C26" i="143"/>
  <c r="E25" i="143"/>
  <c r="C25" i="143"/>
  <c r="E24" i="143"/>
  <c r="C24" i="143"/>
  <c r="E23" i="143"/>
  <c r="C23" i="143"/>
  <c r="E22" i="143"/>
  <c r="C22" i="143"/>
  <c r="E21" i="143"/>
  <c r="C21" i="143"/>
  <c r="E20" i="143"/>
  <c r="C20" i="143"/>
  <c r="E19" i="143"/>
  <c r="C19" i="143"/>
  <c r="E18" i="143"/>
  <c r="C18" i="143"/>
  <c r="E17" i="143"/>
  <c r="C17" i="143"/>
  <c r="E16" i="143"/>
  <c r="C16" i="143"/>
  <c r="E15" i="143"/>
  <c r="C15" i="143"/>
  <c r="E14" i="143"/>
  <c r="C14" i="143"/>
  <c r="E13" i="143"/>
  <c r="C13" i="143"/>
  <c r="E12" i="143"/>
  <c r="C12" i="143"/>
  <c r="E11" i="143"/>
  <c r="C11" i="143"/>
  <c r="E10" i="143"/>
  <c r="C10" i="143"/>
  <c r="E9" i="143"/>
  <c r="C9" i="143"/>
  <c r="B2" i="143"/>
  <c r="B3" i="143" s="1"/>
  <c r="E43" i="142"/>
  <c r="C43" i="142"/>
  <c r="E42" i="142"/>
  <c r="C42" i="142"/>
  <c r="E41" i="142"/>
  <c r="C41" i="142"/>
  <c r="E40" i="142"/>
  <c r="C40" i="142"/>
  <c r="E39" i="142"/>
  <c r="C39" i="142"/>
  <c r="E38" i="142"/>
  <c r="C38" i="142"/>
  <c r="E37" i="142"/>
  <c r="C37" i="142"/>
  <c r="E36" i="142"/>
  <c r="C36" i="142"/>
  <c r="E35" i="142"/>
  <c r="C35" i="142"/>
  <c r="E34" i="142"/>
  <c r="C34" i="142"/>
  <c r="E33" i="142"/>
  <c r="C33" i="142"/>
  <c r="E32" i="142"/>
  <c r="C32" i="142"/>
  <c r="E31" i="142"/>
  <c r="C31" i="142"/>
  <c r="E30" i="142"/>
  <c r="C30" i="142"/>
  <c r="E29" i="142"/>
  <c r="C29" i="142"/>
  <c r="E28" i="142"/>
  <c r="C28" i="142"/>
  <c r="E27" i="142"/>
  <c r="C27" i="142"/>
  <c r="E26" i="142"/>
  <c r="C26" i="142"/>
  <c r="E25" i="142"/>
  <c r="C25" i="142"/>
  <c r="E24" i="142"/>
  <c r="C24" i="142"/>
  <c r="E23" i="142"/>
  <c r="C23" i="142"/>
  <c r="E22" i="142"/>
  <c r="C22" i="142"/>
  <c r="E21" i="142"/>
  <c r="C21" i="142"/>
  <c r="E20" i="142"/>
  <c r="C20" i="142"/>
  <c r="E19" i="142"/>
  <c r="C19" i="142"/>
  <c r="E18" i="142"/>
  <c r="C18" i="142"/>
  <c r="E17" i="142"/>
  <c r="C17" i="142"/>
  <c r="E16" i="142"/>
  <c r="C16" i="142"/>
  <c r="E15" i="142"/>
  <c r="C15" i="142"/>
  <c r="E14" i="142"/>
  <c r="C14" i="142"/>
  <c r="E13" i="142"/>
  <c r="C13" i="142"/>
  <c r="E12" i="142"/>
  <c r="C12" i="142"/>
  <c r="E11" i="142"/>
  <c r="C11" i="142"/>
  <c r="E10" i="142"/>
  <c r="C10" i="142"/>
  <c r="E9" i="142"/>
  <c r="C9" i="142"/>
  <c r="B2" i="142"/>
  <c r="B3" i="142" s="1"/>
  <c r="E43" i="141"/>
  <c r="C43" i="141"/>
  <c r="E42" i="141"/>
  <c r="C42" i="141"/>
  <c r="E41" i="141"/>
  <c r="C41" i="141"/>
  <c r="E40" i="141"/>
  <c r="C40" i="141"/>
  <c r="E39" i="141"/>
  <c r="C39" i="141"/>
  <c r="E38" i="141"/>
  <c r="C38" i="141"/>
  <c r="E37" i="141"/>
  <c r="C37" i="141"/>
  <c r="E36" i="141"/>
  <c r="C36" i="141"/>
  <c r="E35" i="141"/>
  <c r="C35" i="141"/>
  <c r="E34" i="141"/>
  <c r="C34" i="141"/>
  <c r="E33" i="141"/>
  <c r="C33" i="141"/>
  <c r="E32" i="141"/>
  <c r="C32" i="141"/>
  <c r="E31" i="141"/>
  <c r="C31" i="141"/>
  <c r="E30" i="141"/>
  <c r="C30" i="141"/>
  <c r="E29" i="141"/>
  <c r="C29" i="141"/>
  <c r="E28" i="141"/>
  <c r="C28" i="141"/>
  <c r="E27" i="141"/>
  <c r="C27" i="141"/>
  <c r="E26" i="141"/>
  <c r="C26" i="141"/>
  <c r="E25" i="141"/>
  <c r="C25" i="141"/>
  <c r="E24" i="141"/>
  <c r="C24" i="141"/>
  <c r="E23" i="141"/>
  <c r="C23" i="141"/>
  <c r="E22" i="141"/>
  <c r="C22" i="141"/>
  <c r="E21" i="141"/>
  <c r="C21" i="141"/>
  <c r="E20" i="141"/>
  <c r="C20" i="141"/>
  <c r="E19" i="141"/>
  <c r="C19" i="141"/>
  <c r="E18" i="141"/>
  <c r="C18" i="141"/>
  <c r="E17" i="141"/>
  <c r="C17" i="141"/>
  <c r="E16" i="141"/>
  <c r="C16" i="141"/>
  <c r="E15" i="141"/>
  <c r="C15" i="141"/>
  <c r="E14" i="141"/>
  <c r="C14" i="141"/>
  <c r="E13" i="141"/>
  <c r="C13" i="141"/>
  <c r="E12" i="141"/>
  <c r="C12" i="141"/>
  <c r="E11" i="141"/>
  <c r="C11" i="141"/>
  <c r="E10" i="141"/>
  <c r="C10" i="141"/>
  <c r="E9" i="141"/>
  <c r="C9" i="141"/>
  <c r="B2" i="141"/>
  <c r="B3" i="141" s="1"/>
  <c r="E43" i="140"/>
  <c r="C43" i="140"/>
  <c r="E42" i="140"/>
  <c r="C42" i="140"/>
  <c r="E41" i="140"/>
  <c r="C41" i="140"/>
  <c r="E40" i="140"/>
  <c r="C40" i="140"/>
  <c r="E39" i="140"/>
  <c r="C39" i="140"/>
  <c r="E38" i="140"/>
  <c r="C38" i="140"/>
  <c r="E37" i="140"/>
  <c r="C37" i="140"/>
  <c r="E36" i="140"/>
  <c r="C36" i="140"/>
  <c r="E35" i="140"/>
  <c r="C35" i="140"/>
  <c r="E34" i="140"/>
  <c r="C34" i="140"/>
  <c r="E33" i="140"/>
  <c r="C33" i="140"/>
  <c r="E32" i="140"/>
  <c r="C32" i="140"/>
  <c r="E31" i="140"/>
  <c r="C31" i="140"/>
  <c r="E30" i="140"/>
  <c r="C30" i="140"/>
  <c r="E29" i="140"/>
  <c r="C29" i="140"/>
  <c r="E28" i="140"/>
  <c r="C28" i="140"/>
  <c r="E27" i="140"/>
  <c r="C27" i="140"/>
  <c r="E26" i="140"/>
  <c r="C26" i="140"/>
  <c r="E25" i="140"/>
  <c r="C25" i="140"/>
  <c r="E24" i="140"/>
  <c r="C24" i="140"/>
  <c r="E23" i="140"/>
  <c r="C23" i="140"/>
  <c r="E22" i="140"/>
  <c r="C22" i="140"/>
  <c r="E21" i="140"/>
  <c r="C21" i="140"/>
  <c r="E20" i="140"/>
  <c r="C20" i="140"/>
  <c r="E19" i="140"/>
  <c r="C19" i="140"/>
  <c r="E18" i="140"/>
  <c r="C18" i="140"/>
  <c r="E17" i="140"/>
  <c r="C17" i="140"/>
  <c r="E16" i="140"/>
  <c r="C16" i="140"/>
  <c r="E15" i="140"/>
  <c r="C15" i="140"/>
  <c r="E14" i="140"/>
  <c r="C14" i="140"/>
  <c r="E13" i="140"/>
  <c r="C13" i="140"/>
  <c r="E12" i="140"/>
  <c r="C12" i="140"/>
  <c r="E11" i="140"/>
  <c r="C11" i="140"/>
  <c r="E10" i="140"/>
  <c r="C10" i="140"/>
  <c r="E9" i="140"/>
  <c r="C9" i="140"/>
  <c r="B2" i="140"/>
  <c r="B3" i="140" s="1"/>
  <c r="E43" i="139"/>
  <c r="C43" i="139"/>
  <c r="E42" i="139"/>
  <c r="C42" i="139"/>
  <c r="E41" i="139"/>
  <c r="C41" i="139"/>
  <c r="E40" i="139"/>
  <c r="C40" i="139"/>
  <c r="E39" i="139"/>
  <c r="C39" i="139"/>
  <c r="E38" i="139"/>
  <c r="C38" i="139"/>
  <c r="E37" i="139"/>
  <c r="C37" i="139"/>
  <c r="E36" i="139"/>
  <c r="C36" i="139"/>
  <c r="E35" i="139"/>
  <c r="C35" i="139"/>
  <c r="E34" i="139"/>
  <c r="C34" i="139"/>
  <c r="E33" i="139"/>
  <c r="C33" i="139"/>
  <c r="E32" i="139"/>
  <c r="C32" i="139"/>
  <c r="E31" i="139"/>
  <c r="C31" i="139"/>
  <c r="E30" i="139"/>
  <c r="C30" i="139"/>
  <c r="E29" i="139"/>
  <c r="C29" i="139"/>
  <c r="E28" i="139"/>
  <c r="C28" i="139"/>
  <c r="E27" i="139"/>
  <c r="C27" i="139"/>
  <c r="E26" i="139"/>
  <c r="C26" i="139"/>
  <c r="E25" i="139"/>
  <c r="C25" i="139"/>
  <c r="E24" i="139"/>
  <c r="C24" i="139"/>
  <c r="E23" i="139"/>
  <c r="C23" i="139"/>
  <c r="E22" i="139"/>
  <c r="C22" i="139"/>
  <c r="E21" i="139"/>
  <c r="C21" i="139"/>
  <c r="E20" i="139"/>
  <c r="C20" i="139"/>
  <c r="E19" i="139"/>
  <c r="C19" i="139"/>
  <c r="E18" i="139"/>
  <c r="C18" i="139"/>
  <c r="E17" i="139"/>
  <c r="C17" i="139"/>
  <c r="E16" i="139"/>
  <c r="C16" i="139"/>
  <c r="E15" i="139"/>
  <c r="C15" i="139"/>
  <c r="E14" i="139"/>
  <c r="C14" i="139"/>
  <c r="E13" i="139"/>
  <c r="C13" i="139"/>
  <c r="E12" i="139"/>
  <c r="C12" i="139"/>
  <c r="E11" i="139"/>
  <c r="C11" i="139"/>
  <c r="E10" i="139"/>
  <c r="C10" i="139"/>
  <c r="E9" i="139"/>
  <c r="C9" i="139"/>
  <c r="B2" i="139"/>
  <c r="B3" i="139" s="1"/>
  <c r="E43" i="138"/>
  <c r="C43" i="138"/>
  <c r="E42" i="138"/>
  <c r="C42" i="138"/>
  <c r="E41" i="138"/>
  <c r="C41" i="138"/>
  <c r="E40" i="138"/>
  <c r="C40" i="138"/>
  <c r="E39" i="138"/>
  <c r="C39" i="138"/>
  <c r="E38" i="138"/>
  <c r="C38" i="138"/>
  <c r="E37" i="138"/>
  <c r="C37" i="138"/>
  <c r="E36" i="138"/>
  <c r="C36" i="138"/>
  <c r="E35" i="138"/>
  <c r="C35" i="138"/>
  <c r="E34" i="138"/>
  <c r="C34" i="138"/>
  <c r="E33" i="138"/>
  <c r="C33" i="138"/>
  <c r="E32" i="138"/>
  <c r="C32" i="138"/>
  <c r="E31" i="138"/>
  <c r="C31" i="138"/>
  <c r="E30" i="138"/>
  <c r="C30" i="138"/>
  <c r="E29" i="138"/>
  <c r="C29" i="138"/>
  <c r="E28" i="138"/>
  <c r="C28" i="138"/>
  <c r="E27" i="138"/>
  <c r="C27" i="138"/>
  <c r="E26" i="138"/>
  <c r="C26" i="138"/>
  <c r="E25" i="138"/>
  <c r="C25" i="138"/>
  <c r="E24" i="138"/>
  <c r="C24" i="138"/>
  <c r="E23" i="138"/>
  <c r="C23" i="138"/>
  <c r="E22" i="138"/>
  <c r="C22" i="138"/>
  <c r="E21" i="138"/>
  <c r="C21" i="138"/>
  <c r="E20" i="138"/>
  <c r="C20" i="138"/>
  <c r="E19" i="138"/>
  <c r="C19" i="138"/>
  <c r="E18" i="138"/>
  <c r="C18" i="138"/>
  <c r="E17" i="138"/>
  <c r="C17" i="138"/>
  <c r="E16" i="138"/>
  <c r="C16" i="138"/>
  <c r="E15" i="138"/>
  <c r="C15" i="138"/>
  <c r="E14" i="138"/>
  <c r="C14" i="138"/>
  <c r="E13" i="138"/>
  <c r="C13" i="138"/>
  <c r="E12" i="138"/>
  <c r="C12" i="138"/>
  <c r="E11" i="138"/>
  <c r="C11" i="138"/>
  <c r="E10" i="138"/>
  <c r="C10" i="138"/>
  <c r="E9" i="138"/>
  <c r="C9" i="138"/>
  <c r="B2" i="138"/>
  <c r="B3" i="138" s="1"/>
  <c r="E43" i="137"/>
  <c r="C43" i="137"/>
  <c r="E42" i="137"/>
  <c r="C42" i="137"/>
  <c r="E41" i="137"/>
  <c r="C41" i="137"/>
  <c r="E40" i="137"/>
  <c r="C40" i="137"/>
  <c r="E39" i="137"/>
  <c r="C39" i="137"/>
  <c r="E38" i="137"/>
  <c r="C38" i="137"/>
  <c r="E37" i="137"/>
  <c r="C37" i="137"/>
  <c r="E36" i="137"/>
  <c r="C36" i="137"/>
  <c r="E35" i="137"/>
  <c r="C35" i="137"/>
  <c r="E34" i="137"/>
  <c r="C34" i="137"/>
  <c r="E33" i="137"/>
  <c r="C33" i="137"/>
  <c r="E32" i="137"/>
  <c r="C32" i="137"/>
  <c r="E31" i="137"/>
  <c r="C31" i="137"/>
  <c r="E30" i="137"/>
  <c r="C30" i="137"/>
  <c r="E29" i="137"/>
  <c r="C29" i="137"/>
  <c r="E28" i="137"/>
  <c r="C28" i="137"/>
  <c r="E27" i="137"/>
  <c r="C27" i="137"/>
  <c r="E26" i="137"/>
  <c r="C26" i="137"/>
  <c r="E25" i="137"/>
  <c r="C25" i="137"/>
  <c r="E24" i="137"/>
  <c r="C24" i="137"/>
  <c r="E23" i="137"/>
  <c r="C23" i="137"/>
  <c r="E22" i="137"/>
  <c r="C22" i="137"/>
  <c r="E21" i="137"/>
  <c r="C21" i="137"/>
  <c r="E20" i="137"/>
  <c r="C20" i="137"/>
  <c r="E19" i="137"/>
  <c r="C19" i="137"/>
  <c r="E18" i="137"/>
  <c r="C18" i="137"/>
  <c r="E17" i="137"/>
  <c r="C17" i="137"/>
  <c r="E16" i="137"/>
  <c r="C16" i="137"/>
  <c r="E15" i="137"/>
  <c r="C15" i="137"/>
  <c r="E14" i="137"/>
  <c r="C14" i="137"/>
  <c r="E13" i="137"/>
  <c r="C13" i="137"/>
  <c r="E12" i="137"/>
  <c r="C12" i="137"/>
  <c r="E11" i="137"/>
  <c r="C11" i="137"/>
  <c r="E10" i="137"/>
  <c r="C10" i="137"/>
  <c r="E9" i="137"/>
  <c r="C9" i="137"/>
  <c r="B2" i="137"/>
  <c r="B3" i="137" s="1"/>
  <c r="E43" i="136"/>
  <c r="C43" i="136"/>
  <c r="E42" i="136"/>
  <c r="C42" i="136"/>
  <c r="E41" i="136"/>
  <c r="C41" i="136"/>
  <c r="E40" i="136"/>
  <c r="C40" i="136"/>
  <c r="E39" i="136"/>
  <c r="C39" i="136"/>
  <c r="E38" i="136"/>
  <c r="C38" i="136"/>
  <c r="E37" i="136"/>
  <c r="C37" i="136"/>
  <c r="E36" i="136"/>
  <c r="C36" i="136"/>
  <c r="E35" i="136"/>
  <c r="C35" i="136"/>
  <c r="E34" i="136"/>
  <c r="C34" i="136"/>
  <c r="E33" i="136"/>
  <c r="C33" i="136"/>
  <c r="E32" i="136"/>
  <c r="C32" i="136"/>
  <c r="E31" i="136"/>
  <c r="C31" i="136"/>
  <c r="E30" i="136"/>
  <c r="C30" i="136"/>
  <c r="E29" i="136"/>
  <c r="C29" i="136"/>
  <c r="E28" i="136"/>
  <c r="C28" i="136"/>
  <c r="E27" i="136"/>
  <c r="C27" i="136"/>
  <c r="E26" i="136"/>
  <c r="C26" i="136"/>
  <c r="E25" i="136"/>
  <c r="C25" i="136"/>
  <c r="E24" i="136"/>
  <c r="C24" i="136"/>
  <c r="E23" i="136"/>
  <c r="C23" i="136"/>
  <c r="E22" i="136"/>
  <c r="C22" i="136"/>
  <c r="E21" i="136"/>
  <c r="C21" i="136"/>
  <c r="E20" i="136"/>
  <c r="C20" i="136"/>
  <c r="E19" i="136"/>
  <c r="C19" i="136"/>
  <c r="E18" i="136"/>
  <c r="C18" i="136"/>
  <c r="E17" i="136"/>
  <c r="C17" i="136"/>
  <c r="E16" i="136"/>
  <c r="C16" i="136"/>
  <c r="E15" i="136"/>
  <c r="C15" i="136"/>
  <c r="E14" i="136"/>
  <c r="C14" i="136"/>
  <c r="E13" i="136"/>
  <c r="C13" i="136"/>
  <c r="E12" i="136"/>
  <c r="C12" i="136"/>
  <c r="E11" i="136"/>
  <c r="C11" i="136"/>
  <c r="E10" i="136"/>
  <c r="C10" i="136"/>
  <c r="E9" i="136"/>
  <c r="C9" i="136"/>
  <c r="B2" i="136"/>
  <c r="B3" i="136" s="1"/>
  <c r="E43" i="135"/>
  <c r="C43" i="135"/>
  <c r="E42" i="135"/>
  <c r="C42" i="135"/>
  <c r="E41" i="135"/>
  <c r="C41" i="135"/>
  <c r="E40" i="135"/>
  <c r="C40" i="135"/>
  <c r="E39" i="135"/>
  <c r="C39" i="135"/>
  <c r="E38" i="135"/>
  <c r="C38" i="135"/>
  <c r="E37" i="135"/>
  <c r="C37" i="135"/>
  <c r="E36" i="135"/>
  <c r="C36" i="135"/>
  <c r="E35" i="135"/>
  <c r="C35" i="135"/>
  <c r="E34" i="135"/>
  <c r="C34" i="135"/>
  <c r="E33" i="135"/>
  <c r="C33" i="135"/>
  <c r="E32" i="135"/>
  <c r="C32" i="135"/>
  <c r="E31" i="135"/>
  <c r="C31" i="135"/>
  <c r="E30" i="135"/>
  <c r="C30" i="135"/>
  <c r="E29" i="135"/>
  <c r="C29" i="135"/>
  <c r="E28" i="135"/>
  <c r="C28" i="135"/>
  <c r="E27" i="135"/>
  <c r="C27" i="135"/>
  <c r="E26" i="135"/>
  <c r="C26" i="135"/>
  <c r="E25" i="135"/>
  <c r="C25" i="135"/>
  <c r="E24" i="135"/>
  <c r="C24" i="135"/>
  <c r="E23" i="135"/>
  <c r="C23" i="135"/>
  <c r="E22" i="135"/>
  <c r="C22" i="135"/>
  <c r="E21" i="135"/>
  <c r="C21" i="135"/>
  <c r="E20" i="135"/>
  <c r="C20" i="135"/>
  <c r="E19" i="135"/>
  <c r="C19" i="135"/>
  <c r="E18" i="135"/>
  <c r="C18" i="135"/>
  <c r="E17" i="135"/>
  <c r="C17" i="135"/>
  <c r="E16" i="135"/>
  <c r="C16" i="135"/>
  <c r="E15" i="135"/>
  <c r="C15" i="135"/>
  <c r="E14" i="135"/>
  <c r="C14" i="135"/>
  <c r="E13" i="135"/>
  <c r="C13" i="135"/>
  <c r="E12" i="135"/>
  <c r="C12" i="135"/>
  <c r="E11" i="135"/>
  <c r="C11" i="135"/>
  <c r="E10" i="135"/>
  <c r="C10" i="135"/>
  <c r="E9" i="135"/>
  <c r="C9" i="135"/>
  <c r="B2" i="135"/>
  <c r="B3" i="135" s="1"/>
  <c r="E43" i="134"/>
  <c r="C43" i="134"/>
  <c r="E42" i="134"/>
  <c r="C42" i="134"/>
  <c r="E41" i="134"/>
  <c r="C41" i="134"/>
  <c r="E40" i="134"/>
  <c r="C40" i="134"/>
  <c r="E39" i="134"/>
  <c r="C39" i="134"/>
  <c r="E38" i="134"/>
  <c r="C38" i="134"/>
  <c r="E37" i="134"/>
  <c r="C37" i="134"/>
  <c r="E36" i="134"/>
  <c r="C36" i="134"/>
  <c r="E35" i="134"/>
  <c r="C35" i="134"/>
  <c r="E34" i="134"/>
  <c r="C34" i="134"/>
  <c r="E33" i="134"/>
  <c r="C33" i="134"/>
  <c r="E32" i="134"/>
  <c r="C32" i="134"/>
  <c r="E31" i="134"/>
  <c r="C31" i="134"/>
  <c r="E30" i="134"/>
  <c r="C30" i="134"/>
  <c r="E29" i="134"/>
  <c r="C29" i="134"/>
  <c r="E28" i="134"/>
  <c r="C28" i="134"/>
  <c r="E27" i="134"/>
  <c r="C27" i="134"/>
  <c r="E26" i="134"/>
  <c r="C26" i="134"/>
  <c r="E25" i="134"/>
  <c r="C25" i="134"/>
  <c r="E24" i="134"/>
  <c r="C24" i="134"/>
  <c r="E23" i="134"/>
  <c r="C23" i="134"/>
  <c r="E22" i="134"/>
  <c r="C22" i="134"/>
  <c r="E21" i="134"/>
  <c r="C21" i="134"/>
  <c r="E20" i="134"/>
  <c r="C20" i="134"/>
  <c r="E19" i="134"/>
  <c r="C19" i="134"/>
  <c r="E18" i="134"/>
  <c r="C18" i="134"/>
  <c r="E17" i="134"/>
  <c r="C17" i="134"/>
  <c r="E16" i="134"/>
  <c r="C16" i="134"/>
  <c r="E15" i="134"/>
  <c r="C15" i="134"/>
  <c r="E14" i="134"/>
  <c r="C14" i="134"/>
  <c r="E13" i="134"/>
  <c r="C13" i="134"/>
  <c r="E12" i="134"/>
  <c r="C12" i="134"/>
  <c r="E11" i="134"/>
  <c r="C11" i="134"/>
  <c r="E10" i="134"/>
  <c r="C10" i="134"/>
  <c r="E9" i="134"/>
  <c r="C9" i="134"/>
  <c r="B2" i="134"/>
  <c r="B3" i="134" s="1"/>
  <c r="E43" i="133"/>
  <c r="C43" i="133"/>
  <c r="E42" i="133"/>
  <c r="C42" i="133"/>
  <c r="E41" i="133"/>
  <c r="C41" i="133"/>
  <c r="E40" i="133"/>
  <c r="C40" i="133"/>
  <c r="E39" i="133"/>
  <c r="C39" i="133"/>
  <c r="E38" i="133"/>
  <c r="C38" i="133"/>
  <c r="E37" i="133"/>
  <c r="C37" i="133"/>
  <c r="E36" i="133"/>
  <c r="C36" i="133"/>
  <c r="E35" i="133"/>
  <c r="C35" i="133"/>
  <c r="E34" i="133"/>
  <c r="C34" i="133"/>
  <c r="E33" i="133"/>
  <c r="C33" i="133"/>
  <c r="E32" i="133"/>
  <c r="C32" i="133"/>
  <c r="E31" i="133"/>
  <c r="C31" i="133"/>
  <c r="E30" i="133"/>
  <c r="C30" i="133"/>
  <c r="E29" i="133"/>
  <c r="C29" i="133"/>
  <c r="E28" i="133"/>
  <c r="C28" i="133"/>
  <c r="E27" i="133"/>
  <c r="C27" i="133"/>
  <c r="E26" i="133"/>
  <c r="C26" i="133"/>
  <c r="E25" i="133"/>
  <c r="C25" i="133"/>
  <c r="E24" i="133"/>
  <c r="C24" i="133"/>
  <c r="E23" i="133"/>
  <c r="C23" i="133"/>
  <c r="E22" i="133"/>
  <c r="C22" i="133"/>
  <c r="E21" i="133"/>
  <c r="C21" i="133"/>
  <c r="E20" i="133"/>
  <c r="C20" i="133"/>
  <c r="E19" i="133"/>
  <c r="C19" i="133"/>
  <c r="E18" i="133"/>
  <c r="C18" i="133"/>
  <c r="E17" i="133"/>
  <c r="C17" i="133"/>
  <c r="E16" i="133"/>
  <c r="C16" i="133"/>
  <c r="E15" i="133"/>
  <c r="C15" i="133"/>
  <c r="E14" i="133"/>
  <c r="C14" i="133"/>
  <c r="E13" i="133"/>
  <c r="C13" i="133"/>
  <c r="E12" i="133"/>
  <c r="C12" i="133"/>
  <c r="E11" i="133"/>
  <c r="C11" i="133"/>
  <c r="E10" i="133"/>
  <c r="C10" i="133"/>
  <c r="E9" i="133"/>
  <c r="C9" i="133"/>
  <c r="B2" i="133"/>
  <c r="B3" i="133" s="1"/>
  <c r="E43" i="132"/>
  <c r="C43" i="132"/>
  <c r="E42" i="132"/>
  <c r="C42" i="132"/>
  <c r="E41" i="132"/>
  <c r="C41" i="132"/>
  <c r="E40" i="132"/>
  <c r="C40" i="132"/>
  <c r="E39" i="132"/>
  <c r="C39" i="132"/>
  <c r="E38" i="132"/>
  <c r="C38" i="132"/>
  <c r="E37" i="132"/>
  <c r="C37" i="132"/>
  <c r="E36" i="132"/>
  <c r="C36" i="132"/>
  <c r="E35" i="132"/>
  <c r="C35" i="132"/>
  <c r="E34" i="132"/>
  <c r="C34" i="132"/>
  <c r="E33" i="132"/>
  <c r="C33" i="132"/>
  <c r="E32" i="132"/>
  <c r="C32" i="132"/>
  <c r="E31" i="132"/>
  <c r="C31" i="132"/>
  <c r="E30" i="132"/>
  <c r="C30" i="132"/>
  <c r="E29" i="132"/>
  <c r="C29" i="132"/>
  <c r="E28" i="132"/>
  <c r="C28" i="132"/>
  <c r="E27" i="132"/>
  <c r="C27" i="132"/>
  <c r="E26" i="132"/>
  <c r="C26" i="132"/>
  <c r="E25" i="132"/>
  <c r="C25" i="132"/>
  <c r="E24" i="132"/>
  <c r="C24" i="132"/>
  <c r="E23" i="132"/>
  <c r="C23" i="132"/>
  <c r="E22" i="132"/>
  <c r="C22" i="132"/>
  <c r="E21" i="132"/>
  <c r="C21" i="132"/>
  <c r="E20" i="132"/>
  <c r="C20" i="132"/>
  <c r="E19" i="132"/>
  <c r="C19" i="132"/>
  <c r="E18" i="132"/>
  <c r="C18" i="132"/>
  <c r="E17" i="132"/>
  <c r="C17" i="132"/>
  <c r="E16" i="132"/>
  <c r="C16" i="132"/>
  <c r="E15" i="132"/>
  <c r="C15" i="132"/>
  <c r="E14" i="132"/>
  <c r="C14" i="132"/>
  <c r="E13" i="132"/>
  <c r="C13" i="132"/>
  <c r="E12" i="132"/>
  <c r="C12" i="132"/>
  <c r="E11" i="132"/>
  <c r="C11" i="132"/>
  <c r="E10" i="132"/>
  <c r="C10" i="132"/>
  <c r="E9" i="132"/>
  <c r="C9" i="132"/>
  <c r="B2" i="132"/>
  <c r="B3" i="132" s="1"/>
  <c r="E43" i="131"/>
  <c r="C43" i="131"/>
  <c r="E42" i="131"/>
  <c r="C42" i="131"/>
  <c r="E41" i="131"/>
  <c r="C41" i="131"/>
  <c r="E40" i="131"/>
  <c r="C40" i="131"/>
  <c r="E39" i="131"/>
  <c r="C39" i="131"/>
  <c r="E38" i="131"/>
  <c r="C38" i="131"/>
  <c r="E37" i="131"/>
  <c r="C37" i="131"/>
  <c r="E36" i="131"/>
  <c r="C36" i="131"/>
  <c r="E35" i="131"/>
  <c r="C35" i="131"/>
  <c r="E34" i="131"/>
  <c r="C34" i="131"/>
  <c r="E33" i="131"/>
  <c r="C33" i="131"/>
  <c r="E32" i="131"/>
  <c r="C32" i="131"/>
  <c r="E31" i="131"/>
  <c r="C31" i="131"/>
  <c r="E30" i="131"/>
  <c r="C30" i="131"/>
  <c r="E29" i="131"/>
  <c r="C29" i="131"/>
  <c r="E28" i="131"/>
  <c r="C28" i="131"/>
  <c r="E27" i="131"/>
  <c r="C27" i="131"/>
  <c r="E26" i="131"/>
  <c r="C26" i="131"/>
  <c r="E25" i="131"/>
  <c r="C25" i="131"/>
  <c r="E24" i="131"/>
  <c r="C24" i="131"/>
  <c r="E23" i="131"/>
  <c r="C23" i="131"/>
  <c r="E22" i="131"/>
  <c r="C22" i="131"/>
  <c r="E21" i="131"/>
  <c r="C21" i="131"/>
  <c r="E20" i="131"/>
  <c r="C20" i="131"/>
  <c r="E19" i="131"/>
  <c r="C19" i="131"/>
  <c r="E18" i="131"/>
  <c r="C18" i="131"/>
  <c r="E17" i="131"/>
  <c r="C17" i="131"/>
  <c r="E16" i="131"/>
  <c r="C16" i="131"/>
  <c r="E15" i="131"/>
  <c r="C15" i="131"/>
  <c r="E14" i="131"/>
  <c r="C14" i="131"/>
  <c r="E13" i="131"/>
  <c r="C13" i="131"/>
  <c r="E12" i="131"/>
  <c r="C12" i="131"/>
  <c r="E11" i="131"/>
  <c r="C11" i="131"/>
  <c r="E10" i="131"/>
  <c r="C10" i="131"/>
  <c r="E9" i="131"/>
  <c r="C9" i="131"/>
  <c r="B2" i="131"/>
  <c r="B3" i="131" s="1"/>
  <c r="E43" i="130"/>
  <c r="C43" i="130"/>
  <c r="E42" i="130"/>
  <c r="C42" i="130"/>
  <c r="E41" i="130"/>
  <c r="C41" i="130"/>
  <c r="E40" i="130"/>
  <c r="C40" i="130"/>
  <c r="E39" i="130"/>
  <c r="C39" i="130"/>
  <c r="E38" i="130"/>
  <c r="C38" i="130"/>
  <c r="E37" i="130"/>
  <c r="C37" i="130"/>
  <c r="E36" i="130"/>
  <c r="C36" i="130"/>
  <c r="E35" i="130"/>
  <c r="C35" i="130"/>
  <c r="E34" i="130"/>
  <c r="C34" i="130"/>
  <c r="E33" i="130"/>
  <c r="C33" i="130"/>
  <c r="E32" i="130"/>
  <c r="C32" i="130"/>
  <c r="E31" i="130"/>
  <c r="C31" i="130"/>
  <c r="E30" i="130"/>
  <c r="C30" i="130"/>
  <c r="E29" i="130"/>
  <c r="C29" i="130"/>
  <c r="E28" i="130"/>
  <c r="C28" i="130"/>
  <c r="E27" i="130"/>
  <c r="C27" i="130"/>
  <c r="E26" i="130"/>
  <c r="C26" i="130"/>
  <c r="E25" i="130"/>
  <c r="C25" i="130"/>
  <c r="E24" i="130"/>
  <c r="C24" i="130"/>
  <c r="E23" i="130"/>
  <c r="C23" i="130"/>
  <c r="E22" i="130"/>
  <c r="C22" i="130"/>
  <c r="E21" i="130"/>
  <c r="C21" i="130"/>
  <c r="E20" i="130"/>
  <c r="C20" i="130"/>
  <c r="E19" i="130"/>
  <c r="C19" i="130"/>
  <c r="E18" i="130"/>
  <c r="C18" i="130"/>
  <c r="E17" i="130"/>
  <c r="C17" i="130"/>
  <c r="E16" i="130"/>
  <c r="C16" i="130"/>
  <c r="E15" i="130"/>
  <c r="C15" i="130"/>
  <c r="E14" i="130"/>
  <c r="C14" i="130"/>
  <c r="E13" i="130"/>
  <c r="C13" i="130"/>
  <c r="E12" i="130"/>
  <c r="C12" i="130"/>
  <c r="E11" i="130"/>
  <c r="C11" i="130"/>
  <c r="E10" i="130"/>
  <c r="C10" i="130"/>
  <c r="E9" i="130"/>
  <c r="C9" i="130"/>
  <c r="B2" i="130"/>
  <c r="B3" i="130" s="1"/>
  <c r="E43" i="129"/>
  <c r="C43" i="129"/>
  <c r="E42" i="129"/>
  <c r="C42" i="129"/>
  <c r="E41" i="129"/>
  <c r="C41" i="129"/>
  <c r="E40" i="129"/>
  <c r="C40" i="129"/>
  <c r="E39" i="129"/>
  <c r="C39" i="129"/>
  <c r="E38" i="129"/>
  <c r="C38" i="129"/>
  <c r="E37" i="129"/>
  <c r="C37" i="129"/>
  <c r="E36" i="129"/>
  <c r="C36" i="129"/>
  <c r="E35" i="129"/>
  <c r="C35" i="129"/>
  <c r="E34" i="129"/>
  <c r="C34" i="129"/>
  <c r="E33" i="129"/>
  <c r="C33" i="129"/>
  <c r="E32" i="129"/>
  <c r="C32" i="129"/>
  <c r="E31" i="129"/>
  <c r="C31" i="129"/>
  <c r="E30" i="129"/>
  <c r="C30" i="129"/>
  <c r="E29" i="129"/>
  <c r="C29" i="129"/>
  <c r="E28" i="129"/>
  <c r="C28" i="129"/>
  <c r="E27" i="129"/>
  <c r="C27" i="129"/>
  <c r="E26" i="129"/>
  <c r="C26" i="129"/>
  <c r="E25" i="129"/>
  <c r="C25" i="129"/>
  <c r="E24" i="129"/>
  <c r="C24" i="129"/>
  <c r="E23" i="129"/>
  <c r="C23" i="129"/>
  <c r="E22" i="129"/>
  <c r="C22" i="129"/>
  <c r="E21" i="129"/>
  <c r="C21" i="129"/>
  <c r="E20" i="129"/>
  <c r="C20" i="129"/>
  <c r="E19" i="129"/>
  <c r="C19" i="129"/>
  <c r="E18" i="129"/>
  <c r="C18" i="129"/>
  <c r="E17" i="129"/>
  <c r="C17" i="129"/>
  <c r="E16" i="129"/>
  <c r="C16" i="129"/>
  <c r="E15" i="129"/>
  <c r="C15" i="129"/>
  <c r="E14" i="129"/>
  <c r="C14" i="129"/>
  <c r="E13" i="129"/>
  <c r="C13" i="129"/>
  <c r="E12" i="129"/>
  <c r="C12" i="129"/>
  <c r="E11" i="129"/>
  <c r="C11" i="129"/>
  <c r="E10" i="129"/>
  <c r="C10" i="129"/>
  <c r="E9" i="129"/>
  <c r="C9" i="129"/>
  <c r="B2" i="129"/>
  <c r="B3" i="129" s="1"/>
  <c r="E43" i="128"/>
  <c r="C43" i="128"/>
  <c r="E42" i="128"/>
  <c r="C42" i="128"/>
  <c r="E41" i="128"/>
  <c r="C41" i="128"/>
  <c r="E40" i="128"/>
  <c r="C40" i="128"/>
  <c r="E39" i="128"/>
  <c r="C39" i="128"/>
  <c r="E38" i="128"/>
  <c r="C38" i="128"/>
  <c r="E37" i="128"/>
  <c r="C37" i="128"/>
  <c r="E36" i="128"/>
  <c r="C36" i="128"/>
  <c r="E35" i="128"/>
  <c r="C35" i="128"/>
  <c r="E34" i="128"/>
  <c r="C34" i="128"/>
  <c r="E33" i="128"/>
  <c r="C33" i="128"/>
  <c r="E32" i="128"/>
  <c r="C32" i="128"/>
  <c r="E31" i="128"/>
  <c r="C31" i="128"/>
  <c r="E30" i="128"/>
  <c r="C30" i="128"/>
  <c r="E29" i="128"/>
  <c r="C29" i="128"/>
  <c r="E28" i="128"/>
  <c r="C28" i="128"/>
  <c r="E27" i="128"/>
  <c r="C27" i="128"/>
  <c r="E26" i="128"/>
  <c r="C26" i="128"/>
  <c r="E25" i="128"/>
  <c r="C25" i="128"/>
  <c r="E24" i="128"/>
  <c r="C24" i="128"/>
  <c r="E23" i="128"/>
  <c r="C23" i="128"/>
  <c r="E22" i="128"/>
  <c r="C22" i="128"/>
  <c r="E21" i="128"/>
  <c r="C21" i="128"/>
  <c r="E20" i="128"/>
  <c r="C20" i="128"/>
  <c r="E19" i="128"/>
  <c r="C19" i="128"/>
  <c r="E18" i="128"/>
  <c r="C18" i="128"/>
  <c r="E17" i="128"/>
  <c r="C17" i="128"/>
  <c r="E16" i="128"/>
  <c r="C16" i="128"/>
  <c r="E15" i="128"/>
  <c r="C15" i="128"/>
  <c r="E14" i="128"/>
  <c r="C14" i="128"/>
  <c r="E13" i="128"/>
  <c r="C13" i="128"/>
  <c r="E12" i="128"/>
  <c r="C12" i="128"/>
  <c r="E11" i="128"/>
  <c r="C11" i="128"/>
  <c r="E10" i="128"/>
  <c r="C10" i="128"/>
  <c r="E9" i="128"/>
  <c r="C9" i="128"/>
  <c r="B2" i="128"/>
  <c r="B3" i="128" s="1"/>
  <c r="E43" i="127"/>
  <c r="C43" i="127"/>
  <c r="E42" i="127"/>
  <c r="C42" i="127"/>
  <c r="E41" i="127"/>
  <c r="C41" i="127"/>
  <c r="E40" i="127"/>
  <c r="C40" i="127"/>
  <c r="E39" i="127"/>
  <c r="C39" i="127"/>
  <c r="E38" i="127"/>
  <c r="C38" i="127"/>
  <c r="E37" i="127"/>
  <c r="C37" i="127"/>
  <c r="E36" i="127"/>
  <c r="C36" i="127"/>
  <c r="E35" i="127"/>
  <c r="C35" i="127"/>
  <c r="E34" i="127"/>
  <c r="C34" i="127"/>
  <c r="E33" i="127"/>
  <c r="C33" i="127"/>
  <c r="E32" i="127"/>
  <c r="C32" i="127"/>
  <c r="E31" i="127"/>
  <c r="C31" i="127"/>
  <c r="E30" i="127"/>
  <c r="C30" i="127"/>
  <c r="E29" i="127"/>
  <c r="C29" i="127"/>
  <c r="E28" i="127"/>
  <c r="C28" i="127"/>
  <c r="E27" i="127"/>
  <c r="C27" i="127"/>
  <c r="E26" i="127"/>
  <c r="C26" i="127"/>
  <c r="E25" i="127"/>
  <c r="C25" i="127"/>
  <c r="E24" i="127"/>
  <c r="C24" i="127"/>
  <c r="E23" i="127"/>
  <c r="C23" i="127"/>
  <c r="E22" i="127"/>
  <c r="C22" i="127"/>
  <c r="E21" i="127"/>
  <c r="C21" i="127"/>
  <c r="E20" i="127"/>
  <c r="C20" i="127"/>
  <c r="E19" i="127"/>
  <c r="C19" i="127"/>
  <c r="E18" i="127"/>
  <c r="C18" i="127"/>
  <c r="E17" i="127"/>
  <c r="C17" i="127"/>
  <c r="E16" i="127"/>
  <c r="C16" i="127"/>
  <c r="E15" i="127"/>
  <c r="C15" i="127"/>
  <c r="E14" i="127"/>
  <c r="C14" i="127"/>
  <c r="E13" i="127"/>
  <c r="C13" i="127"/>
  <c r="E12" i="127"/>
  <c r="C12" i="127"/>
  <c r="E11" i="127"/>
  <c r="C11" i="127"/>
  <c r="E10" i="127"/>
  <c r="C10" i="127"/>
  <c r="E9" i="127"/>
  <c r="C9" i="127"/>
  <c r="B2" i="127"/>
  <c r="B5" i="127" s="1"/>
  <c r="E43" i="126"/>
  <c r="C43" i="126"/>
  <c r="E42" i="126"/>
  <c r="C42" i="126"/>
  <c r="E41" i="126"/>
  <c r="C41" i="126"/>
  <c r="E40" i="126"/>
  <c r="C40" i="126"/>
  <c r="E39" i="126"/>
  <c r="C39" i="126"/>
  <c r="E38" i="126"/>
  <c r="C38" i="126"/>
  <c r="E37" i="126"/>
  <c r="C37" i="126"/>
  <c r="E36" i="126"/>
  <c r="C36" i="126"/>
  <c r="E35" i="126"/>
  <c r="C35" i="126"/>
  <c r="E34" i="126"/>
  <c r="C34" i="126"/>
  <c r="E33" i="126"/>
  <c r="C33" i="126"/>
  <c r="E32" i="126"/>
  <c r="C32" i="126"/>
  <c r="E31" i="126"/>
  <c r="C31" i="126"/>
  <c r="E30" i="126"/>
  <c r="C30" i="126"/>
  <c r="E29" i="126"/>
  <c r="C29" i="126"/>
  <c r="E28" i="126"/>
  <c r="C28" i="126"/>
  <c r="E27" i="126"/>
  <c r="C27" i="126"/>
  <c r="E26" i="126"/>
  <c r="C26" i="126"/>
  <c r="E25" i="126"/>
  <c r="C25" i="126"/>
  <c r="E24" i="126"/>
  <c r="C24" i="126"/>
  <c r="E23" i="126"/>
  <c r="C23" i="126"/>
  <c r="E22" i="126"/>
  <c r="C22" i="126"/>
  <c r="E21" i="126"/>
  <c r="C21" i="126"/>
  <c r="E20" i="126"/>
  <c r="C20" i="126"/>
  <c r="E19" i="126"/>
  <c r="C19" i="126"/>
  <c r="E18" i="126"/>
  <c r="C18" i="126"/>
  <c r="E17" i="126"/>
  <c r="C17" i="126"/>
  <c r="E16" i="126"/>
  <c r="C16" i="126"/>
  <c r="E15" i="126"/>
  <c r="C15" i="126"/>
  <c r="E14" i="126"/>
  <c r="C14" i="126"/>
  <c r="E13" i="126"/>
  <c r="C13" i="126"/>
  <c r="E12" i="126"/>
  <c r="C12" i="126"/>
  <c r="E11" i="126"/>
  <c r="C11" i="126"/>
  <c r="E10" i="126"/>
  <c r="C10" i="126"/>
  <c r="E9" i="126"/>
  <c r="C9" i="126"/>
  <c r="B2" i="126"/>
  <c r="B3" i="126" s="1"/>
  <c r="E43" i="125"/>
  <c r="C43" i="125"/>
  <c r="E42" i="125"/>
  <c r="C42" i="125"/>
  <c r="E41" i="125"/>
  <c r="C41" i="125"/>
  <c r="E40" i="125"/>
  <c r="C40" i="125"/>
  <c r="E39" i="125"/>
  <c r="C39" i="125"/>
  <c r="E38" i="125"/>
  <c r="C38" i="125"/>
  <c r="E37" i="125"/>
  <c r="C37" i="125"/>
  <c r="E36" i="125"/>
  <c r="C36" i="125"/>
  <c r="E35" i="125"/>
  <c r="C35" i="125"/>
  <c r="E34" i="125"/>
  <c r="C34" i="125"/>
  <c r="E33" i="125"/>
  <c r="C33" i="125"/>
  <c r="E32" i="125"/>
  <c r="C32" i="125"/>
  <c r="E31" i="125"/>
  <c r="C31" i="125"/>
  <c r="E30" i="125"/>
  <c r="C30" i="125"/>
  <c r="E29" i="125"/>
  <c r="C29" i="125"/>
  <c r="E28" i="125"/>
  <c r="C28" i="125"/>
  <c r="E27" i="125"/>
  <c r="C27" i="125"/>
  <c r="E26" i="125"/>
  <c r="C26" i="125"/>
  <c r="E25" i="125"/>
  <c r="C25" i="125"/>
  <c r="E24" i="125"/>
  <c r="C24" i="125"/>
  <c r="E23" i="125"/>
  <c r="C23" i="125"/>
  <c r="E22" i="125"/>
  <c r="C22" i="125"/>
  <c r="E21" i="125"/>
  <c r="C21" i="125"/>
  <c r="E20" i="125"/>
  <c r="C20" i="125"/>
  <c r="E19" i="125"/>
  <c r="C19" i="125"/>
  <c r="E18" i="125"/>
  <c r="C18" i="125"/>
  <c r="E17" i="125"/>
  <c r="C17" i="125"/>
  <c r="E16" i="125"/>
  <c r="C16" i="125"/>
  <c r="E15" i="125"/>
  <c r="C15" i="125"/>
  <c r="E14" i="125"/>
  <c r="C14" i="125"/>
  <c r="E13" i="125"/>
  <c r="C13" i="125"/>
  <c r="E12" i="125"/>
  <c r="C12" i="125"/>
  <c r="E11" i="125"/>
  <c r="C11" i="125"/>
  <c r="E10" i="125"/>
  <c r="C10" i="125"/>
  <c r="E9" i="125"/>
  <c r="C9" i="125"/>
  <c r="B2" i="125"/>
  <c r="B3" i="125" s="1"/>
  <c r="E43" i="124"/>
  <c r="C43" i="124"/>
  <c r="E42" i="124"/>
  <c r="C42" i="124"/>
  <c r="E41" i="124"/>
  <c r="C41" i="124"/>
  <c r="E40" i="124"/>
  <c r="C40" i="124"/>
  <c r="E39" i="124"/>
  <c r="C39" i="124"/>
  <c r="E38" i="124"/>
  <c r="C38" i="124"/>
  <c r="E37" i="124"/>
  <c r="C37" i="124"/>
  <c r="E36" i="124"/>
  <c r="C36" i="124"/>
  <c r="E35" i="124"/>
  <c r="C35" i="124"/>
  <c r="E34" i="124"/>
  <c r="C34" i="124"/>
  <c r="E33" i="124"/>
  <c r="C33" i="124"/>
  <c r="E32" i="124"/>
  <c r="C32" i="124"/>
  <c r="E31" i="124"/>
  <c r="C31" i="124"/>
  <c r="E30" i="124"/>
  <c r="C30" i="124"/>
  <c r="E29" i="124"/>
  <c r="C29" i="124"/>
  <c r="E28" i="124"/>
  <c r="C28" i="124"/>
  <c r="E27" i="124"/>
  <c r="C27" i="124"/>
  <c r="E26" i="124"/>
  <c r="C26" i="124"/>
  <c r="E25" i="124"/>
  <c r="C25" i="124"/>
  <c r="E24" i="124"/>
  <c r="C24" i="124"/>
  <c r="E23" i="124"/>
  <c r="C23" i="124"/>
  <c r="E22" i="124"/>
  <c r="C22" i="124"/>
  <c r="E21" i="124"/>
  <c r="C21" i="124"/>
  <c r="E20" i="124"/>
  <c r="C20" i="124"/>
  <c r="E19" i="124"/>
  <c r="C19" i="124"/>
  <c r="E18" i="124"/>
  <c r="C18" i="124"/>
  <c r="E17" i="124"/>
  <c r="C17" i="124"/>
  <c r="E16" i="124"/>
  <c r="C16" i="124"/>
  <c r="E15" i="124"/>
  <c r="C15" i="124"/>
  <c r="E14" i="124"/>
  <c r="C14" i="124"/>
  <c r="E13" i="124"/>
  <c r="C13" i="124"/>
  <c r="E12" i="124"/>
  <c r="C12" i="124"/>
  <c r="E11" i="124"/>
  <c r="C11" i="124"/>
  <c r="E10" i="124"/>
  <c r="C10" i="124"/>
  <c r="E9" i="124"/>
  <c r="C9" i="124"/>
  <c r="B2" i="124"/>
  <c r="B3" i="124" s="1"/>
  <c r="E43" i="123"/>
  <c r="C43" i="123"/>
  <c r="E42" i="123"/>
  <c r="C42" i="123"/>
  <c r="E41" i="123"/>
  <c r="C41" i="123"/>
  <c r="E40" i="123"/>
  <c r="C40" i="123"/>
  <c r="E39" i="123"/>
  <c r="C39" i="123"/>
  <c r="E38" i="123"/>
  <c r="C38" i="123"/>
  <c r="E37" i="123"/>
  <c r="C37" i="123"/>
  <c r="E36" i="123"/>
  <c r="C36" i="123"/>
  <c r="E35" i="123"/>
  <c r="C35" i="123"/>
  <c r="E34" i="123"/>
  <c r="C34" i="123"/>
  <c r="E33" i="123"/>
  <c r="C33" i="123"/>
  <c r="E32" i="123"/>
  <c r="C32" i="123"/>
  <c r="E31" i="123"/>
  <c r="C31" i="123"/>
  <c r="E30" i="123"/>
  <c r="C30" i="123"/>
  <c r="E29" i="123"/>
  <c r="C29" i="123"/>
  <c r="E28" i="123"/>
  <c r="C28" i="123"/>
  <c r="E27" i="123"/>
  <c r="C27" i="123"/>
  <c r="E26" i="123"/>
  <c r="C26" i="123"/>
  <c r="E25" i="123"/>
  <c r="C25" i="123"/>
  <c r="E24" i="123"/>
  <c r="C24" i="123"/>
  <c r="E23" i="123"/>
  <c r="C23" i="123"/>
  <c r="E22" i="123"/>
  <c r="C22" i="123"/>
  <c r="E21" i="123"/>
  <c r="C21" i="123"/>
  <c r="E20" i="123"/>
  <c r="C20" i="123"/>
  <c r="E19" i="123"/>
  <c r="C19" i="123"/>
  <c r="E18" i="123"/>
  <c r="C18" i="123"/>
  <c r="E17" i="123"/>
  <c r="C17" i="123"/>
  <c r="E16" i="123"/>
  <c r="C16" i="123"/>
  <c r="E15" i="123"/>
  <c r="C15" i="123"/>
  <c r="E14" i="123"/>
  <c r="C14" i="123"/>
  <c r="E13" i="123"/>
  <c r="C13" i="123"/>
  <c r="E12" i="123"/>
  <c r="C12" i="123"/>
  <c r="E11" i="123"/>
  <c r="C11" i="123"/>
  <c r="E10" i="123"/>
  <c r="C10" i="123"/>
  <c r="E9" i="123"/>
  <c r="C9" i="123"/>
  <c r="B2" i="123"/>
  <c r="B3" i="123" s="1"/>
  <c r="E16" i="122"/>
  <c r="C16" i="122"/>
  <c r="E15" i="122"/>
  <c r="E14" i="122"/>
  <c r="C14" i="122"/>
  <c r="E13" i="122"/>
  <c r="C13" i="122"/>
  <c r="E12" i="122"/>
  <c r="E11" i="122"/>
  <c r="C11" i="122"/>
  <c r="E10" i="122"/>
  <c r="C10" i="122"/>
  <c r="E9" i="122"/>
  <c r="C9" i="122"/>
  <c r="B2" i="122"/>
  <c r="B5" i="122" s="1"/>
  <c r="E16" i="121"/>
  <c r="C16" i="121"/>
  <c r="E15" i="121"/>
  <c r="E14" i="121"/>
  <c r="C14" i="121"/>
  <c r="E13" i="121"/>
  <c r="C13" i="121"/>
  <c r="E12" i="121"/>
  <c r="E11" i="121"/>
  <c r="C11" i="121"/>
  <c r="E10" i="121"/>
  <c r="C10" i="121"/>
  <c r="E9" i="121"/>
  <c r="C9" i="121"/>
  <c r="B2" i="121"/>
  <c r="E18" i="120"/>
  <c r="C18" i="120"/>
  <c r="E17" i="120"/>
  <c r="E16" i="120"/>
  <c r="C16" i="120"/>
  <c r="E15" i="120"/>
  <c r="E14" i="120"/>
  <c r="E13" i="120"/>
  <c r="C13" i="120"/>
  <c r="E12" i="120"/>
  <c r="E11" i="120"/>
  <c r="C11" i="120"/>
  <c r="E10" i="120"/>
  <c r="C10" i="120"/>
  <c r="E9" i="120"/>
  <c r="C9" i="120"/>
  <c r="B2" i="120"/>
  <c r="B5" i="120" s="1"/>
  <c r="E20" i="119"/>
  <c r="C20" i="119"/>
  <c r="E19" i="119"/>
  <c r="C19" i="119"/>
  <c r="E18" i="119"/>
  <c r="C18" i="119"/>
  <c r="E17" i="119"/>
  <c r="E16" i="119"/>
  <c r="C16" i="119"/>
  <c r="E15" i="119"/>
  <c r="C15" i="119"/>
  <c r="E14" i="119"/>
  <c r="E13" i="119"/>
  <c r="C13" i="119"/>
  <c r="E12" i="119"/>
  <c r="E11" i="119"/>
  <c r="C11" i="119"/>
  <c r="E10" i="119"/>
  <c r="C10" i="119"/>
  <c r="E9" i="119"/>
  <c r="C9" i="119"/>
  <c r="B2" i="119"/>
  <c r="B5" i="119" s="1"/>
  <c r="E26" i="118"/>
  <c r="C26" i="118"/>
  <c r="E25" i="118"/>
  <c r="C25" i="118"/>
  <c r="E24" i="118"/>
  <c r="C24" i="118"/>
  <c r="E23" i="118"/>
  <c r="E22" i="118"/>
  <c r="C22" i="118"/>
  <c r="E21" i="118"/>
  <c r="C21" i="118"/>
  <c r="E20" i="118"/>
  <c r="E19" i="118"/>
  <c r="C19" i="118"/>
  <c r="E18" i="118"/>
  <c r="E17" i="118"/>
  <c r="C17" i="118"/>
  <c r="E16" i="118"/>
  <c r="E15" i="118"/>
  <c r="C15" i="118"/>
  <c r="E14" i="118"/>
  <c r="E13" i="118"/>
  <c r="C13" i="118"/>
  <c r="E12" i="118"/>
  <c r="E11" i="118"/>
  <c r="C11" i="118"/>
  <c r="E10" i="118"/>
  <c r="C10" i="118"/>
  <c r="E9" i="118"/>
  <c r="C9" i="118"/>
  <c r="B2" i="118"/>
  <c r="B5" i="118" s="1"/>
  <c r="E26" i="117"/>
  <c r="C26" i="117"/>
  <c r="E25" i="117"/>
  <c r="C25" i="117"/>
  <c r="E24" i="117"/>
  <c r="C24" i="117"/>
  <c r="E23" i="117"/>
  <c r="E22" i="117"/>
  <c r="C22" i="117"/>
  <c r="E21" i="117"/>
  <c r="C21" i="117"/>
  <c r="E20" i="117"/>
  <c r="E19" i="117"/>
  <c r="C19" i="117"/>
  <c r="E18" i="117"/>
  <c r="E17" i="117"/>
  <c r="C17" i="117"/>
  <c r="E16" i="117"/>
  <c r="E15" i="117"/>
  <c r="C15" i="117"/>
  <c r="E14" i="117"/>
  <c r="E13" i="117"/>
  <c r="C13" i="117"/>
  <c r="E12" i="117"/>
  <c r="E11" i="117"/>
  <c r="C11" i="117"/>
  <c r="E10" i="117"/>
  <c r="C10" i="117"/>
  <c r="E9" i="117"/>
  <c r="C9" i="117"/>
  <c r="B2" i="117"/>
  <c r="B5" i="117" s="1"/>
  <c r="E22" i="116"/>
  <c r="C22" i="116"/>
  <c r="E21" i="116"/>
  <c r="C21" i="116"/>
  <c r="E20" i="116"/>
  <c r="C20" i="116"/>
  <c r="E19" i="116"/>
  <c r="E18" i="116"/>
  <c r="C18" i="116"/>
  <c r="E17" i="116"/>
  <c r="C17" i="116"/>
  <c r="E16" i="116"/>
  <c r="E15" i="116"/>
  <c r="C15" i="116"/>
  <c r="E14" i="116"/>
  <c r="E13" i="116"/>
  <c r="C13" i="116"/>
  <c r="E12" i="116"/>
  <c r="E11" i="116"/>
  <c r="C11" i="116"/>
  <c r="E10" i="116"/>
  <c r="E9" i="116"/>
  <c r="C9" i="116"/>
  <c r="B2" i="116"/>
  <c r="E28" i="115"/>
  <c r="C28" i="115"/>
  <c r="E27" i="115"/>
  <c r="C27" i="115"/>
  <c r="E26" i="115"/>
  <c r="C26" i="115"/>
  <c r="E25" i="115"/>
  <c r="E24" i="115"/>
  <c r="C24" i="115"/>
  <c r="E23" i="115"/>
  <c r="C23" i="115"/>
  <c r="E22" i="115"/>
  <c r="E21" i="115"/>
  <c r="C21" i="115"/>
  <c r="E20" i="115"/>
  <c r="E19" i="115"/>
  <c r="C19" i="115"/>
  <c r="E18" i="115"/>
  <c r="E17" i="115"/>
  <c r="C17" i="115"/>
  <c r="E16" i="115"/>
  <c r="E15" i="115"/>
  <c r="C15" i="115"/>
  <c r="E14" i="115"/>
  <c r="C14" i="115"/>
  <c r="E13" i="115"/>
  <c r="C13" i="115"/>
  <c r="E12" i="115"/>
  <c r="C12" i="115"/>
  <c r="E11" i="115"/>
  <c r="C11" i="115"/>
  <c r="E10" i="115"/>
  <c r="C10" i="115"/>
  <c r="E9" i="115"/>
  <c r="C9" i="115"/>
  <c r="B2" i="115"/>
  <c r="B5" i="115" s="1"/>
  <c r="E28" i="114"/>
  <c r="C28" i="114"/>
  <c r="E27" i="114"/>
  <c r="C27" i="114"/>
  <c r="E26" i="114"/>
  <c r="C26" i="114"/>
  <c r="E25" i="114"/>
  <c r="E24" i="114"/>
  <c r="C24" i="114"/>
  <c r="E23" i="114"/>
  <c r="C23" i="114"/>
  <c r="E22" i="114"/>
  <c r="E21" i="114"/>
  <c r="C21" i="114"/>
  <c r="E20" i="114"/>
  <c r="E19" i="114"/>
  <c r="C19" i="114"/>
  <c r="E18" i="114"/>
  <c r="E17" i="114"/>
  <c r="C17" i="114"/>
  <c r="E16" i="114"/>
  <c r="E15" i="114"/>
  <c r="C15" i="114"/>
  <c r="E14" i="114"/>
  <c r="E13" i="114"/>
  <c r="C13" i="114"/>
  <c r="E12" i="114"/>
  <c r="E11" i="114"/>
  <c r="C11" i="114"/>
  <c r="E10" i="114"/>
  <c r="C10" i="114"/>
  <c r="E9" i="114"/>
  <c r="C9" i="114"/>
  <c r="B2" i="114"/>
  <c r="B5" i="114" s="1"/>
  <c r="E27" i="113"/>
  <c r="C27" i="113"/>
  <c r="E26" i="113"/>
  <c r="C26" i="113"/>
  <c r="E25" i="113"/>
  <c r="C25" i="113"/>
  <c r="E24" i="113"/>
  <c r="E23" i="113"/>
  <c r="C23" i="113"/>
  <c r="E22" i="113"/>
  <c r="C22" i="113"/>
  <c r="E21" i="113"/>
  <c r="E20" i="113"/>
  <c r="C20" i="113"/>
  <c r="E19" i="113"/>
  <c r="E18" i="113"/>
  <c r="C18" i="113"/>
  <c r="E17" i="113"/>
  <c r="E16" i="113"/>
  <c r="C16" i="113"/>
  <c r="E15" i="113"/>
  <c r="E14" i="113"/>
  <c r="C14" i="113"/>
  <c r="E13" i="113"/>
  <c r="E12" i="113"/>
  <c r="C12" i="113"/>
  <c r="E11" i="113"/>
  <c r="E10" i="113"/>
  <c r="C10" i="113"/>
  <c r="E9" i="113"/>
  <c r="C9" i="113"/>
  <c r="B2" i="113"/>
  <c r="B5" i="113" s="1"/>
  <c r="E26" i="112"/>
  <c r="C26" i="112"/>
  <c r="E25" i="112"/>
  <c r="E24" i="112"/>
  <c r="C24" i="112"/>
  <c r="E23" i="112"/>
  <c r="E22" i="112"/>
  <c r="E21" i="112"/>
  <c r="C21" i="112"/>
  <c r="E20" i="112"/>
  <c r="E19" i="112"/>
  <c r="C19" i="112"/>
  <c r="E18" i="112"/>
  <c r="E17" i="112"/>
  <c r="C17" i="112"/>
  <c r="E16" i="112"/>
  <c r="E15" i="112"/>
  <c r="C15" i="112"/>
  <c r="E14" i="112"/>
  <c r="E13" i="112"/>
  <c r="C13" i="112"/>
  <c r="E12" i="112"/>
  <c r="E11" i="112"/>
  <c r="C11" i="112"/>
  <c r="E10" i="112"/>
  <c r="C10" i="112"/>
  <c r="E9" i="112"/>
  <c r="C9" i="112"/>
  <c r="B2" i="112"/>
  <c r="E26" i="111"/>
  <c r="C26" i="111"/>
  <c r="E25" i="111"/>
  <c r="C25" i="111"/>
  <c r="E24" i="111"/>
  <c r="C24" i="111"/>
  <c r="E23" i="111"/>
  <c r="E22" i="111"/>
  <c r="C22" i="111"/>
  <c r="E21" i="111"/>
  <c r="C21" i="111"/>
  <c r="E20" i="111"/>
  <c r="E19" i="111"/>
  <c r="C19" i="111"/>
  <c r="E18" i="111"/>
  <c r="E17" i="111"/>
  <c r="C17" i="111"/>
  <c r="E16" i="111"/>
  <c r="E15" i="111"/>
  <c r="C15" i="111"/>
  <c r="E14" i="111"/>
  <c r="E13" i="111"/>
  <c r="C13" i="111"/>
  <c r="E12" i="111"/>
  <c r="E11" i="111"/>
  <c r="C11" i="111"/>
  <c r="E10" i="111"/>
  <c r="C10" i="111"/>
  <c r="E9" i="111"/>
  <c r="C9" i="111"/>
  <c r="B2" i="111"/>
  <c r="B5" i="111" s="1"/>
  <c r="E27" i="110"/>
  <c r="E26" i="110"/>
  <c r="C26" i="110"/>
  <c r="E25" i="110"/>
  <c r="C25" i="110"/>
  <c r="E24" i="110"/>
  <c r="C24" i="110"/>
  <c r="E23" i="110"/>
  <c r="E22" i="110"/>
  <c r="C22" i="110"/>
  <c r="E21" i="110"/>
  <c r="C21" i="110"/>
  <c r="E20" i="110"/>
  <c r="E19" i="110"/>
  <c r="C19" i="110"/>
  <c r="E18" i="110"/>
  <c r="E17" i="110"/>
  <c r="C17" i="110"/>
  <c r="E16" i="110"/>
  <c r="E15" i="110"/>
  <c r="C15" i="110"/>
  <c r="E14" i="110"/>
  <c r="C14" i="110"/>
  <c r="E13" i="110"/>
  <c r="C13" i="110"/>
  <c r="E12" i="110"/>
  <c r="C12" i="110"/>
  <c r="E11" i="110"/>
  <c r="C11" i="110"/>
  <c r="E10" i="110"/>
  <c r="C10" i="110"/>
  <c r="E9" i="110"/>
  <c r="C9" i="110"/>
  <c r="B2" i="110"/>
  <c r="B5" i="110" s="1"/>
  <c r="E22" i="109"/>
  <c r="C22" i="109"/>
  <c r="E21" i="109"/>
  <c r="C21" i="109"/>
  <c r="E20" i="109"/>
  <c r="C20" i="109"/>
  <c r="E19" i="109"/>
  <c r="E18" i="109"/>
  <c r="C18" i="109"/>
  <c r="E17" i="109"/>
  <c r="E16" i="109"/>
  <c r="C16" i="109"/>
  <c r="E15" i="109"/>
  <c r="C15" i="109"/>
  <c r="E14" i="109"/>
  <c r="E13" i="109"/>
  <c r="C13" i="109"/>
  <c r="E12" i="109"/>
  <c r="E11" i="109"/>
  <c r="C11" i="109"/>
  <c r="E10" i="109"/>
  <c r="C10" i="109"/>
  <c r="E9" i="109"/>
  <c r="C9" i="109"/>
  <c r="B2" i="109"/>
  <c r="B5" i="109" s="1"/>
  <c r="E22" i="108"/>
  <c r="C22" i="108"/>
  <c r="E21" i="108"/>
  <c r="C21" i="108"/>
  <c r="E20" i="108"/>
  <c r="E19" i="108"/>
  <c r="C19" i="108"/>
  <c r="E18" i="108"/>
  <c r="E17" i="108"/>
  <c r="C17" i="108"/>
  <c r="E16" i="108"/>
  <c r="E15" i="108"/>
  <c r="C15" i="108"/>
  <c r="E14" i="108"/>
  <c r="E13" i="108"/>
  <c r="C13" i="108"/>
  <c r="E12" i="108"/>
  <c r="E11" i="108"/>
  <c r="C11" i="108"/>
  <c r="E10" i="108"/>
  <c r="C10" i="108"/>
  <c r="E9" i="108"/>
  <c r="C9" i="108"/>
  <c r="B2" i="108"/>
  <c r="B3" i="108" s="1"/>
  <c r="E22" i="107"/>
  <c r="C22" i="107"/>
  <c r="E21" i="107"/>
  <c r="C21" i="107"/>
  <c r="E20" i="107"/>
  <c r="E19" i="107"/>
  <c r="C19" i="107"/>
  <c r="E18" i="107"/>
  <c r="E17" i="107"/>
  <c r="C17" i="107"/>
  <c r="E16" i="107"/>
  <c r="E15" i="107"/>
  <c r="C15" i="107"/>
  <c r="E14" i="107"/>
  <c r="E13" i="107"/>
  <c r="C13" i="107"/>
  <c r="E12" i="107"/>
  <c r="E11" i="107"/>
  <c r="C11" i="107"/>
  <c r="E10" i="107"/>
  <c r="C10" i="107"/>
  <c r="E9" i="107"/>
  <c r="C9" i="107"/>
  <c r="B2" i="107"/>
  <c r="B3" i="107" s="1"/>
  <c r="E22" i="106"/>
  <c r="C22" i="106"/>
  <c r="E21" i="106"/>
  <c r="C21" i="106"/>
  <c r="E20" i="106"/>
  <c r="E19" i="106"/>
  <c r="C19" i="106"/>
  <c r="E18" i="106"/>
  <c r="E17" i="106"/>
  <c r="C17" i="106"/>
  <c r="E16" i="106"/>
  <c r="E15" i="106"/>
  <c r="C15" i="106"/>
  <c r="E14" i="106"/>
  <c r="C14" i="106"/>
  <c r="E13" i="106"/>
  <c r="C13" i="106"/>
  <c r="E12" i="106"/>
  <c r="E11" i="106"/>
  <c r="C11" i="106"/>
  <c r="E10" i="106"/>
  <c r="C10" i="106"/>
  <c r="E9" i="106"/>
  <c r="C9" i="106"/>
  <c r="B2" i="106"/>
  <c r="B3" i="106" s="1"/>
  <c r="E22" i="105"/>
  <c r="C22" i="105"/>
  <c r="E21" i="105"/>
  <c r="C21" i="105"/>
  <c r="E20" i="105"/>
  <c r="E19" i="105"/>
  <c r="C19" i="105"/>
  <c r="E18" i="105"/>
  <c r="E17" i="105"/>
  <c r="C17" i="105"/>
  <c r="E16" i="105"/>
  <c r="E15" i="105"/>
  <c r="C15" i="105"/>
  <c r="E14" i="105"/>
  <c r="E13" i="105"/>
  <c r="C13" i="105"/>
  <c r="E12" i="105"/>
  <c r="E11" i="105"/>
  <c r="C11" i="105"/>
  <c r="E10" i="105"/>
  <c r="C10" i="105"/>
  <c r="E9" i="105"/>
  <c r="C9" i="105"/>
  <c r="B2" i="105"/>
  <c r="B3" i="105" s="1"/>
  <c r="E22" i="104"/>
  <c r="C22" i="104"/>
  <c r="E21" i="104"/>
  <c r="C21" i="104"/>
  <c r="E20" i="104"/>
  <c r="E19" i="104"/>
  <c r="C19" i="104"/>
  <c r="E18" i="104"/>
  <c r="E17" i="104"/>
  <c r="C17" i="104"/>
  <c r="E16" i="104"/>
  <c r="E15" i="104"/>
  <c r="C15" i="104"/>
  <c r="E14" i="104"/>
  <c r="E13" i="104"/>
  <c r="C13" i="104"/>
  <c r="E12" i="104"/>
  <c r="E11" i="104"/>
  <c r="C11" i="104"/>
  <c r="E10" i="104"/>
  <c r="C10" i="104"/>
  <c r="E9" i="104"/>
  <c r="C9" i="104"/>
  <c r="B2" i="104"/>
  <c r="B3" i="104" s="1"/>
  <c r="E22" i="103"/>
  <c r="C22" i="103"/>
  <c r="E21" i="103"/>
  <c r="C21" i="103"/>
  <c r="E20" i="103"/>
  <c r="E19" i="103"/>
  <c r="C19" i="103"/>
  <c r="E18" i="103"/>
  <c r="E17" i="103"/>
  <c r="C17" i="103"/>
  <c r="E16" i="103"/>
  <c r="E15" i="103"/>
  <c r="C15" i="103"/>
  <c r="E14" i="103"/>
  <c r="E13" i="103"/>
  <c r="C13" i="103"/>
  <c r="E12" i="103"/>
  <c r="E11" i="103"/>
  <c r="C11" i="103"/>
  <c r="E10" i="103"/>
  <c r="C10" i="103"/>
  <c r="E9" i="103"/>
  <c r="C9" i="103"/>
  <c r="B2" i="103"/>
  <c r="B3" i="103" s="1"/>
  <c r="E22" i="102"/>
  <c r="C22" i="102"/>
  <c r="E21" i="102"/>
  <c r="C21" i="102"/>
  <c r="E20" i="102"/>
  <c r="E19" i="102"/>
  <c r="C19" i="102"/>
  <c r="E18" i="102"/>
  <c r="E17" i="102"/>
  <c r="C17" i="102"/>
  <c r="E16" i="102"/>
  <c r="E15" i="102"/>
  <c r="C15" i="102"/>
  <c r="E14" i="102"/>
  <c r="E13" i="102"/>
  <c r="C13" i="102"/>
  <c r="E12" i="102"/>
  <c r="E11" i="102"/>
  <c r="C11" i="102"/>
  <c r="E10" i="102"/>
  <c r="C10" i="102"/>
  <c r="E9" i="102"/>
  <c r="C9" i="102"/>
  <c r="B2" i="102"/>
  <c r="B5" i="102" s="1"/>
  <c r="C11" i="5"/>
  <c r="C13" i="5"/>
  <c r="C15" i="5"/>
  <c r="C16" i="5"/>
  <c r="C10" i="5"/>
  <c r="B3" i="109" l="1"/>
  <c r="B4" i="109"/>
  <c r="B3" i="122"/>
  <c r="B4" i="122"/>
  <c r="B4" i="121"/>
  <c r="B5" i="121"/>
  <c r="B3" i="121"/>
  <c r="B3" i="120"/>
  <c r="B4" i="120"/>
  <c r="B3" i="119"/>
  <c r="B4" i="119"/>
  <c r="B3" i="118"/>
  <c r="B4" i="118"/>
  <c r="B3" i="117"/>
  <c r="B4" i="117"/>
  <c r="B4" i="116"/>
  <c r="B5" i="116"/>
  <c r="B3" i="116"/>
  <c r="B3" i="115"/>
  <c r="B4" i="115"/>
  <c r="B3" i="114"/>
  <c r="B4" i="114"/>
  <c r="B3" i="113"/>
  <c r="B4" i="113"/>
  <c r="B4" i="112"/>
  <c r="B5" i="112"/>
  <c r="B3" i="112"/>
  <c r="B3" i="111"/>
  <c r="B4" i="111"/>
  <c r="B3" i="110"/>
  <c r="B4" i="110"/>
  <c r="B4" i="203"/>
  <c r="B5" i="203"/>
  <c r="B4" i="202"/>
  <c r="B5" i="202"/>
  <c r="B4" i="201"/>
  <c r="B5" i="201"/>
  <c r="B4" i="200"/>
  <c r="B3" i="200"/>
  <c r="B4" i="199"/>
  <c r="B5" i="199"/>
  <c r="B4" i="198"/>
  <c r="B5" i="198"/>
  <c r="B4" i="197"/>
  <c r="B5" i="197"/>
  <c r="B4" i="196"/>
  <c r="B5" i="196"/>
  <c r="B4" i="195"/>
  <c r="B5" i="195"/>
  <c r="B4" i="194"/>
  <c r="B5" i="194"/>
  <c r="B4" i="193"/>
  <c r="B5" i="193"/>
  <c r="B4" i="192"/>
  <c r="B5" i="192"/>
  <c r="B4" i="191"/>
  <c r="B5" i="191"/>
  <c r="B4" i="190"/>
  <c r="B5" i="190"/>
  <c r="B4" i="189"/>
  <c r="B5" i="189"/>
  <c r="B4" i="188"/>
  <c r="B5" i="188"/>
  <c r="B5" i="187"/>
  <c r="B4" i="187"/>
  <c r="B4" i="186"/>
  <c r="B5" i="186"/>
  <c r="B4" i="185"/>
  <c r="B5" i="185"/>
  <c r="B4" i="184"/>
  <c r="B5" i="184"/>
  <c r="B4" i="183"/>
  <c r="B5" i="183"/>
  <c r="B4" i="182"/>
  <c r="B5" i="182"/>
  <c r="B5" i="181"/>
  <c r="B4" i="181"/>
  <c r="B4" i="180"/>
  <c r="B5" i="180"/>
  <c r="B4" i="179"/>
  <c r="B5" i="179"/>
  <c r="B4" i="178"/>
  <c r="B5" i="178"/>
  <c r="B4" i="177"/>
  <c r="B5" i="177"/>
  <c r="B4" i="176"/>
  <c r="B5" i="176"/>
  <c r="B5" i="175"/>
  <c r="B4" i="175"/>
  <c r="B4" i="174"/>
  <c r="B5" i="174"/>
  <c r="B4" i="173"/>
  <c r="B5" i="173"/>
  <c r="B3" i="172"/>
  <c r="B4" i="172"/>
  <c r="B4" i="171"/>
  <c r="B5" i="171"/>
  <c r="B4" i="170"/>
  <c r="B5" i="170"/>
  <c r="B4" i="169"/>
  <c r="B5" i="169"/>
  <c r="B3" i="168"/>
  <c r="B4" i="168"/>
  <c r="B4" i="167"/>
  <c r="B5" i="167"/>
  <c r="B4" i="166"/>
  <c r="B5" i="166"/>
  <c r="B4" i="165"/>
  <c r="B5" i="165"/>
  <c r="B4" i="164"/>
  <c r="B5" i="164"/>
  <c r="B4" i="163"/>
  <c r="B5" i="163"/>
  <c r="B4" i="162"/>
  <c r="B5" i="162"/>
  <c r="B4" i="161"/>
  <c r="B5" i="161"/>
  <c r="B4" i="160"/>
  <c r="B5" i="160"/>
  <c r="B4" i="159"/>
  <c r="B5" i="159"/>
  <c r="B4" i="158"/>
  <c r="B5" i="158"/>
  <c r="B4" i="157"/>
  <c r="B5" i="157"/>
  <c r="B3" i="156"/>
  <c r="B5" i="156"/>
  <c r="B4" i="155"/>
  <c r="B5" i="155"/>
  <c r="B4" i="154"/>
  <c r="B5" i="154"/>
  <c r="B4" i="153"/>
  <c r="B5" i="153"/>
  <c r="B4" i="152"/>
  <c r="B5" i="152"/>
  <c r="B3" i="151"/>
  <c r="B4" i="151"/>
  <c r="B4" i="150"/>
  <c r="B5" i="150"/>
  <c r="B4" i="149"/>
  <c r="B5" i="149"/>
  <c r="B4" i="148"/>
  <c r="B5" i="148"/>
  <c r="B4" i="147"/>
  <c r="B5" i="147"/>
  <c r="B4" i="146"/>
  <c r="B5" i="146"/>
  <c r="B5" i="145"/>
  <c r="B4" i="145"/>
  <c r="B4" i="144"/>
  <c r="B5" i="144"/>
  <c r="B4" i="143"/>
  <c r="B5" i="143"/>
  <c r="B4" i="142"/>
  <c r="B5" i="142"/>
  <c r="B4" i="141"/>
  <c r="B5" i="141"/>
  <c r="B4" i="140"/>
  <c r="B5" i="140"/>
  <c r="B4" i="139"/>
  <c r="B5" i="139"/>
  <c r="B4" i="138"/>
  <c r="B5" i="138"/>
  <c r="B5" i="137"/>
  <c r="B4" i="137"/>
  <c r="B4" i="136"/>
  <c r="B5" i="136"/>
  <c r="B4" i="135"/>
  <c r="B5" i="135"/>
  <c r="B4" i="134"/>
  <c r="B5" i="134"/>
  <c r="B4" i="133"/>
  <c r="B5" i="133"/>
  <c r="B4" i="132"/>
  <c r="B5" i="132"/>
  <c r="B4" i="131"/>
  <c r="B5" i="131"/>
  <c r="B4" i="130"/>
  <c r="B5" i="130"/>
  <c r="B4" i="129"/>
  <c r="B5" i="129"/>
  <c r="B5" i="128"/>
  <c r="B4" i="128"/>
  <c r="B3" i="127"/>
  <c r="B4" i="127"/>
  <c r="B4" i="126"/>
  <c r="B5" i="126"/>
  <c r="B4" i="125"/>
  <c r="B5" i="125"/>
  <c r="B4" i="124"/>
  <c r="B5" i="124"/>
  <c r="B4" i="123"/>
  <c r="B5" i="123"/>
  <c r="B4" i="108"/>
  <c r="B5" i="108"/>
  <c r="B4" i="107"/>
  <c r="B5" i="107"/>
  <c r="B4" i="106"/>
  <c r="B5" i="106"/>
  <c r="B5" i="105"/>
  <c r="B4" i="105"/>
  <c r="B4" i="104"/>
  <c r="B5" i="104"/>
  <c r="B5" i="103"/>
  <c r="B4" i="103"/>
  <c r="B3" i="102"/>
  <c r="B4" i="102"/>
  <c r="E22" i="101"/>
  <c r="C22" i="101"/>
  <c r="E21" i="101"/>
  <c r="C21" i="101"/>
  <c r="E20" i="101"/>
  <c r="E19" i="101"/>
  <c r="C19" i="101"/>
  <c r="E18" i="101"/>
  <c r="E17" i="101"/>
  <c r="C17" i="101"/>
  <c r="E16" i="101"/>
  <c r="E15" i="101"/>
  <c r="C15" i="101"/>
  <c r="E14" i="101"/>
  <c r="E13" i="101"/>
  <c r="C13" i="101"/>
  <c r="E12" i="101"/>
  <c r="E11" i="101"/>
  <c r="C11" i="101"/>
  <c r="E10" i="101"/>
  <c r="C10" i="101"/>
  <c r="E9" i="101"/>
  <c r="C9" i="101"/>
  <c r="E22" i="100"/>
  <c r="C22" i="100"/>
  <c r="E21" i="100"/>
  <c r="C21" i="100"/>
  <c r="E20" i="100"/>
  <c r="E19" i="100"/>
  <c r="C19" i="100"/>
  <c r="E18" i="100"/>
  <c r="E17" i="100"/>
  <c r="C17" i="100"/>
  <c r="E16" i="100"/>
  <c r="E15" i="100"/>
  <c r="C15" i="100"/>
  <c r="E14" i="100"/>
  <c r="E13" i="100"/>
  <c r="C13" i="100"/>
  <c r="E12" i="100"/>
  <c r="E11" i="100"/>
  <c r="C11" i="100"/>
  <c r="E10" i="100"/>
  <c r="C10" i="100"/>
  <c r="E9" i="100"/>
  <c r="C9" i="100"/>
  <c r="E22" i="99"/>
  <c r="C22" i="99"/>
  <c r="E21" i="99"/>
  <c r="C21" i="99"/>
  <c r="E20" i="99"/>
  <c r="E19" i="99"/>
  <c r="C19" i="99"/>
  <c r="E18" i="99"/>
  <c r="E17" i="99"/>
  <c r="C17" i="99"/>
  <c r="E16" i="99"/>
  <c r="E15" i="99"/>
  <c r="C15" i="99"/>
  <c r="E14" i="99"/>
  <c r="E13" i="99"/>
  <c r="C13" i="99"/>
  <c r="E12" i="99"/>
  <c r="E11" i="99"/>
  <c r="C11" i="99"/>
  <c r="E10" i="99"/>
  <c r="C10" i="99"/>
  <c r="E9" i="99"/>
  <c r="C9" i="99"/>
  <c r="E22" i="98"/>
  <c r="C22" i="98"/>
  <c r="E21" i="98"/>
  <c r="C21" i="98"/>
  <c r="E20" i="98"/>
  <c r="E19" i="98"/>
  <c r="C19" i="98"/>
  <c r="E18" i="98"/>
  <c r="E17" i="98"/>
  <c r="C17" i="98"/>
  <c r="E16" i="98"/>
  <c r="E15" i="98"/>
  <c r="C15" i="98"/>
  <c r="E14" i="98"/>
  <c r="E13" i="98"/>
  <c r="C13" i="98"/>
  <c r="E12" i="98"/>
  <c r="E11" i="98"/>
  <c r="C11" i="98"/>
  <c r="E10" i="98"/>
  <c r="C10" i="98"/>
  <c r="E9" i="98"/>
  <c r="C9" i="98"/>
  <c r="E22" i="97"/>
  <c r="C22" i="97"/>
  <c r="E21" i="97"/>
  <c r="C21" i="97"/>
  <c r="E20" i="97"/>
  <c r="E19" i="97"/>
  <c r="C19" i="97"/>
  <c r="E18" i="97"/>
  <c r="E17" i="97"/>
  <c r="C17" i="97"/>
  <c r="E16" i="97"/>
  <c r="E15" i="97"/>
  <c r="C15" i="97"/>
  <c r="E14" i="97"/>
  <c r="E13" i="97"/>
  <c r="C13" i="97"/>
  <c r="E12" i="97"/>
  <c r="E11" i="97"/>
  <c r="C11" i="97"/>
  <c r="E10" i="97"/>
  <c r="C10" i="97"/>
  <c r="E9" i="97"/>
  <c r="C9" i="97"/>
  <c r="E22" i="96"/>
  <c r="C22" i="96"/>
  <c r="E21" i="96"/>
  <c r="C21" i="96"/>
  <c r="E20" i="96"/>
  <c r="E19" i="96"/>
  <c r="C19" i="96"/>
  <c r="E18" i="96"/>
  <c r="E17" i="96"/>
  <c r="C17" i="96"/>
  <c r="E16" i="96"/>
  <c r="E15" i="96"/>
  <c r="C15" i="96"/>
  <c r="E14" i="96"/>
  <c r="E13" i="96"/>
  <c r="C13" i="96"/>
  <c r="E12" i="96"/>
  <c r="E11" i="96"/>
  <c r="C11" i="96"/>
  <c r="E10" i="96"/>
  <c r="C10" i="96"/>
  <c r="E9" i="96"/>
  <c r="C9" i="96"/>
  <c r="E22" i="95"/>
  <c r="C22" i="95"/>
  <c r="E21" i="95"/>
  <c r="E20" i="95"/>
  <c r="E19" i="95"/>
  <c r="C19" i="95"/>
  <c r="E18" i="95"/>
  <c r="E17" i="95"/>
  <c r="C17" i="95"/>
  <c r="E16" i="95"/>
  <c r="E15" i="95"/>
  <c r="C15" i="95"/>
  <c r="E14" i="95"/>
  <c r="E13" i="95"/>
  <c r="C13" i="95"/>
  <c r="E12" i="95"/>
  <c r="E11" i="95"/>
  <c r="C11" i="95"/>
  <c r="E10" i="95"/>
  <c r="C10" i="95"/>
  <c r="E9" i="95"/>
  <c r="C9" i="95"/>
  <c r="E22" i="94"/>
  <c r="C22" i="94"/>
  <c r="E21" i="94"/>
  <c r="C21" i="94"/>
  <c r="E20" i="94"/>
  <c r="E19" i="94"/>
  <c r="C19" i="94"/>
  <c r="E18" i="94"/>
  <c r="E17" i="94"/>
  <c r="C17" i="94"/>
  <c r="E16" i="94"/>
  <c r="E15" i="94"/>
  <c r="C15" i="94"/>
  <c r="E14" i="94"/>
  <c r="E13" i="94"/>
  <c r="C13" i="94"/>
  <c r="E12" i="94"/>
  <c r="E11" i="94"/>
  <c r="C11" i="94"/>
  <c r="E10" i="94"/>
  <c r="C10" i="94"/>
  <c r="E9" i="94"/>
  <c r="C9" i="94"/>
  <c r="E22" i="93"/>
  <c r="C22" i="93"/>
  <c r="E21" i="93"/>
  <c r="C21" i="93"/>
  <c r="E20" i="93"/>
  <c r="E19" i="93"/>
  <c r="C19" i="93"/>
  <c r="E18" i="93"/>
  <c r="E17" i="93"/>
  <c r="C17" i="93"/>
  <c r="E16" i="93"/>
  <c r="E15" i="93"/>
  <c r="C15" i="93"/>
  <c r="E14" i="93"/>
  <c r="E13" i="93"/>
  <c r="C13" i="93"/>
  <c r="E12" i="93"/>
  <c r="E11" i="93"/>
  <c r="C11" i="93"/>
  <c r="E10" i="93"/>
  <c r="C10" i="93"/>
  <c r="E9" i="93"/>
  <c r="C9" i="93"/>
  <c r="E22" i="92"/>
  <c r="C22" i="92"/>
  <c r="E21" i="92"/>
  <c r="C21" i="92"/>
  <c r="E20" i="92"/>
  <c r="E19" i="92"/>
  <c r="C19" i="92"/>
  <c r="E18" i="92"/>
  <c r="E17" i="92"/>
  <c r="C17" i="92"/>
  <c r="E16" i="92"/>
  <c r="E15" i="92"/>
  <c r="C15" i="92"/>
  <c r="E14" i="92"/>
  <c r="E13" i="92"/>
  <c r="C13" i="92"/>
  <c r="E12" i="92"/>
  <c r="E11" i="92"/>
  <c r="C11" i="92"/>
  <c r="E10" i="92"/>
  <c r="C10" i="92"/>
  <c r="E9" i="92"/>
  <c r="C9" i="92"/>
  <c r="E22" i="91"/>
  <c r="C22" i="91"/>
  <c r="E21" i="91"/>
  <c r="C21" i="91"/>
  <c r="E20" i="91"/>
  <c r="E19" i="91"/>
  <c r="C19" i="91"/>
  <c r="E18" i="91"/>
  <c r="E17" i="91"/>
  <c r="C17" i="91"/>
  <c r="E16" i="91"/>
  <c r="E15" i="91"/>
  <c r="C15" i="91"/>
  <c r="E14" i="91"/>
  <c r="E13" i="91"/>
  <c r="C13" i="91"/>
  <c r="E12" i="91"/>
  <c r="E11" i="91"/>
  <c r="C11" i="91"/>
  <c r="E10" i="91"/>
  <c r="C10" i="91"/>
  <c r="E9" i="91"/>
  <c r="C9" i="91"/>
  <c r="E22" i="90"/>
  <c r="C22" i="90"/>
  <c r="E21" i="90"/>
  <c r="C21" i="90"/>
  <c r="E20" i="90"/>
  <c r="E19" i="90"/>
  <c r="C19" i="90"/>
  <c r="E18" i="90"/>
  <c r="E17" i="90"/>
  <c r="C17" i="90"/>
  <c r="E16" i="90"/>
  <c r="E15" i="90"/>
  <c r="C15" i="90"/>
  <c r="E14" i="90"/>
  <c r="E13" i="90"/>
  <c r="C13" i="90"/>
  <c r="E12" i="90"/>
  <c r="E11" i="90"/>
  <c r="C11" i="90"/>
  <c r="E10" i="90"/>
  <c r="C10" i="90"/>
  <c r="E9" i="90"/>
  <c r="C9" i="90"/>
  <c r="E22" i="89"/>
  <c r="C22" i="89"/>
  <c r="E21" i="89"/>
  <c r="C21" i="89"/>
  <c r="E20" i="89"/>
  <c r="E19" i="89"/>
  <c r="C19" i="89"/>
  <c r="E18" i="89"/>
  <c r="E17" i="89"/>
  <c r="C17" i="89"/>
  <c r="E16" i="89"/>
  <c r="E15" i="89"/>
  <c r="C15" i="89"/>
  <c r="E14" i="89"/>
  <c r="E13" i="89"/>
  <c r="C13" i="89"/>
  <c r="E12" i="89"/>
  <c r="E11" i="89"/>
  <c r="C11" i="89"/>
  <c r="E10" i="89"/>
  <c r="C10" i="89"/>
  <c r="E9" i="89"/>
  <c r="C9" i="89"/>
  <c r="E22" i="88"/>
  <c r="C22" i="88"/>
  <c r="E21" i="88"/>
  <c r="C21" i="88"/>
  <c r="E20" i="88"/>
  <c r="E19" i="88"/>
  <c r="C19" i="88"/>
  <c r="E18" i="88"/>
  <c r="E17" i="88"/>
  <c r="C17" i="88"/>
  <c r="E16" i="88"/>
  <c r="E15" i="88"/>
  <c r="C15" i="88"/>
  <c r="E14" i="88"/>
  <c r="E13" i="88"/>
  <c r="C13" i="88"/>
  <c r="E12" i="88"/>
  <c r="E11" i="88"/>
  <c r="C11" i="88"/>
  <c r="E10" i="88"/>
  <c r="C10" i="88"/>
  <c r="E9" i="88"/>
  <c r="C9" i="88"/>
  <c r="E22" i="87"/>
  <c r="C22" i="87"/>
  <c r="E21" i="87"/>
  <c r="C21" i="87"/>
  <c r="E20" i="87"/>
  <c r="E19" i="87"/>
  <c r="C19" i="87"/>
  <c r="E18" i="87"/>
  <c r="E17" i="87"/>
  <c r="C17" i="87"/>
  <c r="E16" i="87"/>
  <c r="E15" i="87"/>
  <c r="C15" i="87"/>
  <c r="E14" i="87"/>
  <c r="E13" i="87"/>
  <c r="C13" i="87"/>
  <c r="E12" i="87"/>
  <c r="E11" i="87"/>
  <c r="C11" i="87"/>
  <c r="E10" i="87"/>
  <c r="C10" i="87"/>
  <c r="E9" i="87"/>
  <c r="C9" i="87"/>
  <c r="E24" i="86"/>
  <c r="C24" i="86"/>
  <c r="E23" i="86"/>
  <c r="E22" i="86"/>
  <c r="C22" i="86"/>
  <c r="E21" i="86"/>
  <c r="C21" i="86"/>
  <c r="E20" i="86"/>
  <c r="E19" i="86"/>
  <c r="C19" i="86"/>
  <c r="E18" i="86"/>
  <c r="E17" i="86"/>
  <c r="C17" i="86"/>
  <c r="E16" i="86"/>
  <c r="E15" i="86"/>
  <c r="C15" i="86"/>
  <c r="E14" i="86"/>
  <c r="E13" i="86"/>
  <c r="C13" i="86"/>
  <c r="E12" i="86"/>
  <c r="E11" i="86"/>
  <c r="C11" i="86"/>
  <c r="E10" i="86"/>
  <c r="C10" i="86"/>
  <c r="E9" i="86"/>
  <c r="C9" i="86"/>
  <c r="E22" i="85"/>
  <c r="C22" i="85"/>
  <c r="E21" i="85"/>
  <c r="C21" i="85"/>
  <c r="E20" i="85"/>
  <c r="E19" i="85"/>
  <c r="C19" i="85"/>
  <c r="E18" i="85"/>
  <c r="E17" i="85"/>
  <c r="C17" i="85"/>
  <c r="E16" i="85"/>
  <c r="E15" i="85"/>
  <c r="C15" i="85"/>
  <c r="E14" i="85"/>
  <c r="E13" i="85"/>
  <c r="C13" i="85"/>
  <c r="E12" i="85"/>
  <c r="E11" i="85"/>
  <c r="C11" i="85"/>
  <c r="E10" i="85"/>
  <c r="C10" i="85"/>
  <c r="E9" i="85"/>
  <c r="C9" i="85"/>
  <c r="E24" i="84"/>
  <c r="C24" i="84"/>
  <c r="E23" i="84"/>
  <c r="E22" i="84"/>
  <c r="C22" i="84"/>
  <c r="E21" i="84"/>
  <c r="C21" i="84"/>
  <c r="E20" i="84"/>
  <c r="E19" i="84"/>
  <c r="C19" i="84"/>
  <c r="E18" i="84"/>
  <c r="E17" i="84"/>
  <c r="C17" i="84"/>
  <c r="E16" i="84"/>
  <c r="E15" i="84"/>
  <c r="C15" i="84"/>
  <c r="E14" i="84"/>
  <c r="E13" i="84"/>
  <c r="C13" i="84"/>
  <c r="E12" i="84"/>
  <c r="E11" i="84"/>
  <c r="C11" i="84"/>
  <c r="E10" i="84"/>
  <c r="C10" i="84"/>
  <c r="E9" i="84"/>
  <c r="C9" i="84"/>
  <c r="E10" i="83"/>
  <c r="E11" i="83"/>
  <c r="E12" i="83"/>
  <c r="E13" i="83"/>
  <c r="E14" i="83"/>
  <c r="E15" i="83"/>
  <c r="E16" i="83"/>
  <c r="E17" i="83"/>
  <c r="E18" i="83"/>
  <c r="E19" i="83"/>
  <c r="E20" i="83"/>
  <c r="E21" i="83"/>
  <c r="E22" i="83"/>
  <c r="E9" i="83"/>
  <c r="C10" i="83"/>
  <c r="C11" i="83"/>
  <c r="C13" i="83"/>
  <c r="C15" i="83"/>
  <c r="C17" i="83"/>
  <c r="C19" i="83"/>
  <c r="C21" i="83"/>
  <c r="C22" i="83"/>
  <c r="C9" i="83"/>
  <c r="E24" i="82"/>
  <c r="E23" i="82"/>
  <c r="E22" i="82"/>
  <c r="C22" i="82"/>
  <c r="E21" i="82"/>
  <c r="C21" i="82"/>
  <c r="E20" i="82"/>
  <c r="E19" i="82"/>
  <c r="C19" i="82"/>
  <c r="E18" i="82"/>
  <c r="E17" i="82"/>
  <c r="C17" i="82"/>
  <c r="E16" i="82"/>
  <c r="E15" i="82"/>
  <c r="C15" i="82"/>
  <c r="E14" i="82"/>
  <c r="E13" i="82"/>
  <c r="C13" i="82"/>
  <c r="E12" i="82"/>
  <c r="E11" i="82"/>
  <c r="C11" i="82"/>
  <c r="E10" i="82"/>
  <c r="C10" i="82"/>
  <c r="E9" i="82"/>
  <c r="C9" i="82"/>
  <c r="E24" i="81"/>
  <c r="C24" i="81"/>
  <c r="E23" i="81"/>
  <c r="E22" i="81"/>
  <c r="C22" i="81"/>
  <c r="E21" i="81"/>
  <c r="C21" i="81"/>
  <c r="E20" i="81"/>
  <c r="E19" i="81"/>
  <c r="C19" i="81"/>
  <c r="E18" i="81"/>
  <c r="E17" i="81"/>
  <c r="C17" i="81"/>
  <c r="E16" i="81"/>
  <c r="E15" i="81"/>
  <c r="C15" i="81"/>
  <c r="E14" i="81"/>
  <c r="E13" i="81"/>
  <c r="C13" i="81"/>
  <c r="E12" i="81"/>
  <c r="E11" i="81"/>
  <c r="C11" i="81"/>
  <c r="E10" i="81"/>
  <c r="C10" i="81"/>
  <c r="E9" i="81"/>
  <c r="C9" i="81"/>
  <c r="B2" i="80"/>
  <c r="B5" i="80" s="1"/>
  <c r="B3" i="80" l="1"/>
  <c r="B4" i="80"/>
  <c r="E25" i="80"/>
  <c r="C25" i="80"/>
  <c r="E24" i="80"/>
  <c r="C24" i="80"/>
  <c r="E23" i="80"/>
  <c r="E22" i="80"/>
  <c r="C22" i="80"/>
  <c r="E21" i="80"/>
  <c r="C21" i="80"/>
  <c r="E20" i="80"/>
  <c r="E19" i="80"/>
  <c r="C19" i="80"/>
  <c r="E18" i="80"/>
  <c r="E17" i="80"/>
  <c r="C17" i="80"/>
  <c r="E16" i="80"/>
  <c r="E15" i="80"/>
  <c r="C15" i="80"/>
  <c r="E14" i="80"/>
  <c r="E13" i="80"/>
  <c r="C13" i="80"/>
  <c r="E12" i="80"/>
  <c r="E11" i="80"/>
  <c r="C11" i="80"/>
  <c r="E10" i="80"/>
  <c r="C10" i="80"/>
  <c r="E9" i="80"/>
  <c r="C9" i="80"/>
  <c r="E22" i="79"/>
  <c r="C22" i="79"/>
  <c r="E21" i="79"/>
  <c r="C21" i="79"/>
  <c r="E20" i="79"/>
  <c r="C20" i="79"/>
  <c r="E19" i="79"/>
  <c r="E18" i="79"/>
  <c r="C18" i="79"/>
  <c r="E17" i="79"/>
  <c r="C17" i="79"/>
  <c r="E16" i="79"/>
  <c r="E15" i="79"/>
  <c r="C15" i="79"/>
  <c r="E14" i="79"/>
  <c r="E13" i="79"/>
  <c r="C13" i="79"/>
  <c r="E12" i="79"/>
  <c r="E11" i="79"/>
  <c r="C11" i="79"/>
  <c r="E10" i="79"/>
  <c r="C10" i="79"/>
  <c r="E9" i="79"/>
  <c r="C9" i="79"/>
  <c r="B2" i="79"/>
  <c r="B3" i="79" s="1"/>
  <c r="E20" i="78"/>
  <c r="C20" i="78"/>
  <c r="E19" i="78"/>
  <c r="C19" i="78"/>
  <c r="E18" i="78"/>
  <c r="C18" i="78"/>
  <c r="E17" i="78"/>
  <c r="E16" i="78"/>
  <c r="C16" i="78"/>
  <c r="E15" i="78"/>
  <c r="C15" i="78"/>
  <c r="E14" i="78"/>
  <c r="E13" i="78"/>
  <c r="C13" i="78"/>
  <c r="E12" i="78"/>
  <c r="E11" i="78"/>
  <c r="C11" i="78"/>
  <c r="E10" i="78"/>
  <c r="C10" i="78"/>
  <c r="E9" i="78"/>
  <c r="C9" i="78"/>
  <c r="B2" i="78"/>
  <c r="B3" i="78" s="1"/>
  <c r="E29" i="77"/>
  <c r="C29" i="77"/>
  <c r="E28" i="77"/>
  <c r="C28" i="77"/>
  <c r="E27" i="77"/>
  <c r="C27" i="77"/>
  <c r="E26" i="77"/>
  <c r="E25" i="77"/>
  <c r="C25" i="77"/>
  <c r="E24" i="77"/>
  <c r="C24" i="77"/>
  <c r="E23" i="77"/>
  <c r="E22" i="77"/>
  <c r="C22" i="77"/>
  <c r="E21" i="77"/>
  <c r="C21" i="77"/>
  <c r="E20" i="77"/>
  <c r="E19" i="77"/>
  <c r="C19" i="77"/>
  <c r="E18" i="77"/>
  <c r="E17" i="77"/>
  <c r="C17" i="77"/>
  <c r="E16" i="77"/>
  <c r="E15" i="77"/>
  <c r="C15" i="77"/>
  <c r="E14" i="77"/>
  <c r="E13" i="77"/>
  <c r="C13" i="77"/>
  <c r="E12" i="77"/>
  <c r="E11" i="77"/>
  <c r="C11" i="77"/>
  <c r="E10" i="77"/>
  <c r="C10" i="77"/>
  <c r="E9" i="77"/>
  <c r="C9" i="77"/>
  <c r="B2" i="77"/>
  <c r="B3" i="77" s="1"/>
  <c r="E26" i="76"/>
  <c r="C26" i="76"/>
  <c r="E25" i="76"/>
  <c r="C25" i="76"/>
  <c r="E24" i="76"/>
  <c r="C24" i="76"/>
  <c r="E22" i="76"/>
  <c r="C22" i="76"/>
  <c r="E21" i="76"/>
  <c r="C21" i="76"/>
  <c r="E20" i="76"/>
  <c r="E19" i="76"/>
  <c r="C19" i="76"/>
  <c r="E18" i="76"/>
  <c r="E17" i="76"/>
  <c r="C17" i="76"/>
  <c r="E16" i="76"/>
  <c r="E15" i="76"/>
  <c r="C15" i="76"/>
  <c r="E14" i="76"/>
  <c r="E13" i="76"/>
  <c r="C13" i="76"/>
  <c r="E12" i="76"/>
  <c r="E11" i="76"/>
  <c r="C11" i="76"/>
  <c r="E10" i="76"/>
  <c r="C10" i="76"/>
  <c r="E9" i="76"/>
  <c r="C9" i="76"/>
  <c r="B2" i="76"/>
  <c r="B3" i="76" s="1"/>
  <c r="E26" i="75"/>
  <c r="C26" i="75"/>
  <c r="E25" i="75"/>
  <c r="C25" i="75"/>
  <c r="E24" i="75"/>
  <c r="C24" i="75"/>
  <c r="E23" i="75"/>
  <c r="E22" i="75"/>
  <c r="C22" i="75"/>
  <c r="E21" i="75"/>
  <c r="C21" i="75"/>
  <c r="E20" i="75"/>
  <c r="E19" i="75"/>
  <c r="C19" i="75"/>
  <c r="E18" i="75"/>
  <c r="E17" i="75"/>
  <c r="C17" i="75"/>
  <c r="E16" i="75"/>
  <c r="E15" i="75"/>
  <c r="C15" i="75"/>
  <c r="E14" i="75"/>
  <c r="E13" i="75"/>
  <c r="C13" i="75"/>
  <c r="E12" i="75"/>
  <c r="E11" i="75"/>
  <c r="C11" i="75"/>
  <c r="E10" i="75"/>
  <c r="C10" i="75"/>
  <c r="E9" i="75"/>
  <c r="C9" i="75"/>
  <c r="B2" i="75"/>
  <c r="B3" i="75" s="1"/>
  <c r="E20" i="74"/>
  <c r="C20" i="74"/>
  <c r="E19" i="74"/>
  <c r="C19" i="74"/>
  <c r="E18" i="74"/>
  <c r="C18" i="74"/>
  <c r="E17" i="74"/>
  <c r="E16" i="74"/>
  <c r="C16" i="74"/>
  <c r="E15" i="74"/>
  <c r="C15" i="74"/>
  <c r="E14" i="74"/>
  <c r="E13" i="74"/>
  <c r="C13" i="74"/>
  <c r="E12" i="74"/>
  <c r="E11" i="74"/>
  <c r="C11" i="74"/>
  <c r="E10" i="74"/>
  <c r="C10" i="74"/>
  <c r="E9" i="74"/>
  <c r="C9" i="74"/>
  <c r="B2" i="74"/>
  <c r="B3" i="74" s="1"/>
  <c r="E22" i="73"/>
  <c r="C22" i="73"/>
  <c r="E21" i="73"/>
  <c r="C21" i="73"/>
  <c r="E20" i="73"/>
  <c r="E18" i="73"/>
  <c r="E17" i="73"/>
  <c r="E16" i="73"/>
  <c r="E15" i="73"/>
  <c r="C15" i="73"/>
  <c r="E14" i="73"/>
  <c r="E13" i="73"/>
  <c r="C13" i="73"/>
  <c r="E12" i="73"/>
  <c r="E11" i="73"/>
  <c r="C11" i="73"/>
  <c r="E10" i="73"/>
  <c r="C10" i="73"/>
  <c r="E9" i="73"/>
  <c r="C9" i="73"/>
  <c r="B2" i="73"/>
  <c r="B3" i="73" s="1"/>
  <c r="E20" i="72"/>
  <c r="C20" i="72"/>
  <c r="E19" i="72"/>
  <c r="C19" i="72"/>
  <c r="E18" i="72"/>
  <c r="E16" i="72"/>
  <c r="C16" i="72"/>
  <c r="E15" i="72"/>
  <c r="E14" i="72"/>
  <c r="E13" i="72"/>
  <c r="C13" i="72"/>
  <c r="E12" i="72"/>
  <c r="E11" i="72"/>
  <c r="C11" i="72"/>
  <c r="E10" i="72"/>
  <c r="C10" i="72"/>
  <c r="E9" i="72"/>
  <c r="C9" i="72"/>
  <c r="B2" i="72"/>
  <c r="B3" i="72" s="1"/>
  <c r="E18" i="71"/>
  <c r="C18" i="71"/>
  <c r="E17" i="71"/>
  <c r="C17" i="71"/>
  <c r="E16" i="71"/>
  <c r="C16" i="71"/>
  <c r="E15" i="71"/>
  <c r="E14" i="71"/>
  <c r="C14" i="71"/>
  <c r="E13" i="71"/>
  <c r="E12" i="71"/>
  <c r="E11" i="71"/>
  <c r="C11" i="71"/>
  <c r="E10" i="71"/>
  <c r="C10" i="71"/>
  <c r="E9" i="71"/>
  <c r="C9" i="71"/>
  <c r="B2" i="71"/>
  <c r="B3" i="71" s="1"/>
  <c r="E19" i="70"/>
  <c r="E18" i="70"/>
  <c r="C18" i="70"/>
  <c r="E17" i="70"/>
  <c r="C17" i="70"/>
  <c r="E16" i="70"/>
  <c r="C16" i="70"/>
  <c r="E15" i="70"/>
  <c r="E14" i="70"/>
  <c r="C14" i="70"/>
  <c r="E13" i="70"/>
  <c r="C13" i="70"/>
  <c r="E12" i="70"/>
  <c r="E11" i="70"/>
  <c r="C11" i="70"/>
  <c r="E10" i="70"/>
  <c r="C10" i="70"/>
  <c r="E9" i="70"/>
  <c r="C9" i="70"/>
  <c r="B2" i="70"/>
  <c r="B3" i="70" s="1"/>
  <c r="E18" i="69"/>
  <c r="E17" i="69"/>
  <c r="C17" i="69"/>
  <c r="E16" i="69"/>
  <c r="E15" i="69"/>
  <c r="E14" i="69"/>
  <c r="C14" i="69"/>
  <c r="E13" i="69"/>
  <c r="C13" i="69"/>
  <c r="E12" i="69"/>
  <c r="E11" i="69"/>
  <c r="C11" i="69"/>
  <c r="E10" i="69"/>
  <c r="C10" i="69"/>
  <c r="E9" i="69"/>
  <c r="C9" i="69"/>
  <c r="B2" i="69"/>
  <c r="B3" i="69" s="1"/>
  <c r="E18" i="68"/>
  <c r="C18" i="68"/>
  <c r="E17" i="68"/>
  <c r="C17" i="68"/>
  <c r="E16" i="68"/>
  <c r="E15" i="68"/>
  <c r="C15" i="68"/>
  <c r="E14" i="68"/>
  <c r="E13" i="68"/>
  <c r="C13" i="68"/>
  <c r="E12" i="68"/>
  <c r="E11" i="68"/>
  <c r="C11" i="68"/>
  <c r="E10" i="68"/>
  <c r="C10" i="68"/>
  <c r="E9" i="68"/>
  <c r="C9" i="68"/>
  <c r="B2" i="68"/>
  <c r="B3" i="68" s="1"/>
  <c r="E23" i="67"/>
  <c r="C23" i="67"/>
  <c r="E22" i="67"/>
  <c r="E21" i="67"/>
  <c r="C21" i="67"/>
  <c r="E20" i="67"/>
  <c r="E19" i="67"/>
  <c r="C19" i="67"/>
  <c r="E18" i="67"/>
  <c r="E17" i="67"/>
  <c r="C17" i="67"/>
  <c r="E16" i="67"/>
  <c r="E15" i="67"/>
  <c r="C15" i="67"/>
  <c r="E14" i="67"/>
  <c r="E13" i="67"/>
  <c r="C13" i="67"/>
  <c r="E12" i="67"/>
  <c r="E11" i="67"/>
  <c r="C11" i="67"/>
  <c r="E10" i="67"/>
  <c r="C10" i="67"/>
  <c r="E9" i="67"/>
  <c r="C9" i="67"/>
  <c r="B2" i="67"/>
  <c r="B3" i="67" s="1"/>
  <c r="E33" i="66"/>
  <c r="C33" i="66"/>
  <c r="E32" i="66"/>
  <c r="E31" i="66"/>
  <c r="C31" i="66"/>
  <c r="E30" i="66"/>
  <c r="E29" i="66"/>
  <c r="C29" i="66"/>
  <c r="E28" i="66"/>
  <c r="E27" i="66"/>
  <c r="C27" i="66"/>
  <c r="E26" i="66"/>
  <c r="E25" i="66"/>
  <c r="C25" i="66"/>
  <c r="E24" i="66"/>
  <c r="E23" i="66"/>
  <c r="C23" i="66"/>
  <c r="E22" i="66"/>
  <c r="E21" i="66"/>
  <c r="C21" i="66"/>
  <c r="E20" i="66"/>
  <c r="E19" i="66"/>
  <c r="C19" i="66"/>
  <c r="E18" i="66"/>
  <c r="E17" i="66"/>
  <c r="C17" i="66"/>
  <c r="E16" i="66"/>
  <c r="E15" i="66"/>
  <c r="C15" i="66"/>
  <c r="E14" i="66"/>
  <c r="E13" i="66"/>
  <c r="C13" i="66"/>
  <c r="E12" i="66"/>
  <c r="E11" i="66"/>
  <c r="C11" i="66"/>
  <c r="E10" i="66"/>
  <c r="C10" i="66"/>
  <c r="C9" i="66"/>
  <c r="B2" i="66"/>
  <c r="B3" i="66" s="1"/>
  <c r="E20" i="65"/>
  <c r="C20" i="65"/>
  <c r="E19" i="65"/>
  <c r="C19" i="65"/>
  <c r="E18" i="65"/>
  <c r="E17" i="65"/>
  <c r="C17" i="65"/>
  <c r="E16" i="65"/>
  <c r="E15" i="65"/>
  <c r="C15" i="65"/>
  <c r="E14" i="65"/>
  <c r="E13" i="65"/>
  <c r="C13" i="65"/>
  <c r="E12" i="65"/>
  <c r="E11" i="65"/>
  <c r="C11" i="65"/>
  <c r="E10" i="65"/>
  <c r="C10" i="65"/>
  <c r="E9" i="65"/>
  <c r="C9" i="65"/>
  <c r="B2" i="65"/>
  <c r="B5" i="65" s="1"/>
  <c r="E20" i="64"/>
  <c r="E19" i="64"/>
  <c r="C19" i="64"/>
  <c r="E18" i="64"/>
  <c r="E17" i="64"/>
  <c r="C17" i="64"/>
  <c r="E16" i="64"/>
  <c r="E15" i="64"/>
  <c r="C15" i="64"/>
  <c r="E14" i="64"/>
  <c r="E13" i="64"/>
  <c r="C13" i="64"/>
  <c r="E12" i="64"/>
  <c r="E11" i="64"/>
  <c r="C11" i="64"/>
  <c r="E10" i="64"/>
  <c r="C10" i="64"/>
  <c r="E9" i="64"/>
  <c r="C9" i="64"/>
  <c r="B2" i="64"/>
  <c r="B3" i="64" s="1"/>
  <c r="E20" i="63"/>
  <c r="E19" i="63"/>
  <c r="C19" i="63"/>
  <c r="E18" i="63"/>
  <c r="E17" i="63"/>
  <c r="C17" i="63"/>
  <c r="E16" i="63"/>
  <c r="E15" i="63"/>
  <c r="C15" i="63"/>
  <c r="E14" i="63"/>
  <c r="E13" i="63"/>
  <c r="C13" i="63"/>
  <c r="E12" i="63"/>
  <c r="E11" i="63"/>
  <c r="C11" i="63"/>
  <c r="E10" i="63"/>
  <c r="C10" i="63"/>
  <c r="E9" i="63"/>
  <c r="C9" i="63"/>
  <c r="B2" i="63"/>
  <c r="B3" i="63" s="1"/>
  <c r="E15" i="62"/>
  <c r="C15" i="62"/>
  <c r="E14" i="62"/>
  <c r="E13" i="62"/>
  <c r="C13" i="62"/>
  <c r="E12" i="62"/>
  <c r="E11" i="62"/>
  <c r="C11" i="62"/>
  <c r="E10" i="62"/>
  <c r="C10" i="62"/>
  <c r="E9" i="62"/>
  <c r="C9" i="62"/>
  <c r="B2" i="62"/>
  <c r="B3" i="62" s="1"/>
  <c r="E27" i="61"/>
  <c r="C27" i="61"/>
  <c r="E26" i="61"/>
  <c r="C26" i="61"/>
  <c r="E25" i="61"/>
  <c r="E24" i="61"/>
  <c r="C24" i="61"/>
  <c r="E23" i="61"/>
  <c r="E22" i="61"/>
  <c r="C22" i="61"/>
  <c r="E21" i="61"/>
  <c r="E20" i="61"/>
  <c r="C20" i="61"/>
  <c r="E19" i="61"/>
  <c r="E18" i="61"/>
  <c r="C18" i="61"/>
  <c r="E17" i="61"/>
  <c r="C17" i="61"/>
  <c r="E16" i="61"/>
  <c r="E15" i="61"/>
  <c r="C15" i="61"/>
  <c r="E14" i="61"/>
  <c r="E13" i="61"/>
  <c r="C13" i="61"/>
  <c r="E12" i="61"/>
  <c r="E11" i="61"/>
  <c r="C11" i="61"/>
  <c r="E10" i="61"/>
  <c r="C10" i="61"/>
  <c r="E9" i="61"/>
  <c r="C9" i="61"/>
  <c r="B2" i="61"/>
  <c r="B3" i="61" s="1"/>
  <c r="E22" i="60"/>
  <c r="C22" i="60"/>
  <c r="E21" i="60"/>
  <c r="E20" i="60"/>
  <c r="C20" i="60"/>
  <c r="E19" i="60"/>
  <c r="C19" i="60"/>
  <c r="E18" i="60"/>
  <c r="E17" i="60"/>
  <c r="C17" i="60"/>
  <c r="E16" i="60"/>
  <c r="E15" i="60"/>
  <c r="C15" i="60"/>
  <c r="E14" i="60"/>
  <c r="E13" i="60"/>
  <c r="C13" i="60"/>
  <c r="E12" i="60"/>
  <c r="E11" i="60"/>
  <c r="C11" i="60"/>
  <c r="E10" i="60"/>
  <c r="C10" i="60"/>
  <c r="E9" i="60"/>
  <c r="C9" i="60"/>
  <c r="B2" i="60"/>
  <c r="B3" i="60" s="1"/>
  <c r="E20" i="59"/>
  <c r="C20" i="59"/>
  <c r="E19" i="59"/>
  <c r="E18" i="59"/>
  <c r="C18" i="59"/>
  <c r="E17" i="59"/>
  <c r="E16" i="59"/>
  <c r="C16" i="59"/>
  <c r="E15" i="59"/>
  <c r="E14" i="59"/>
  <c r="C14" i="59"/>
  <c r="E13" i="59"/>
  <c r="E12" i="59"/>
  <c r="C12" i="59"/>
  <c r="E11" i="59"/>
  <c r="E10" i="59"/>
  <c r="C10" i="59"/>
  <c r="E9" i="59"/>
  <c r="C9" i="59"/>
  <c r="B2" i="59"/>
  <c r="B3" i="59" s="1"/>
  <c r="E23" i="57"/>
  <c r="C23" i="57"/>
  <c r="E22" i="57"/>
  <c r="E21" i="57"/>
  <c r="C21" i="57"/>
  <c r="E20" i="57"/>
  <c r="C20" i="57"/>
  <c r="E19" i="57"/>
  <c r="E18" i="57"/>
  <c r="C18" i="57"/>
  <c r="E17" i="57"/>
  <c r="E16" i="57"/>
  <c r="C16" i="57"/>
  <c r="E15" i="57"/>
  <c r="E14" i="57"/>
  <c r="C14" i="57"/>
  <c r="E13" i="57"/>
  <c r="E12" i="57"/>
  <c r="C12" i="57"/>
  <c r="E11" i="57"/>
  <c r="E10" i="57"/>
  <c r="C10" i="57"/>
  <c r="E9" i="57"/>
  <c r="C9" i="57"/>
  <c r="B2" i="57"/>
  <c r="B3" i="57" s="1"/>
  <c r="E23" i="56"/>
  <c r="C23" i="56"/>
  <c r="E22" i="56"/>
  <c r="E21" i="56"/>
  <c r="C21" i="56"/>
  <c r="E20" i="56"/>
  <c r="C20" i="56"/>
  <c r="E19" i="56"/>
  <c r="E18" i="56"/>
  <c r="C18" i="56"/>
  <c r="E17" i="56"/>
  <c r="E16" i="56"/>
  <c r="C16" i="56"/>
  <c r="E15" i="56"/>
  <c r="E14" i="56"/>
  <c r="C14" i="56"/>
  <c r="E13" i="56"/>
  <c r="E12" i="56"/>
  <c r="C12" i="56"/>
  <c r="E11" i="56"/>
  <c r="E10" i="56"/>
  <c r="C10" i="56"/>
  <c r="E9" i="56"/>
  <c r="C9" i="56"/>
  <c r="B2" i="56"/>
  <c r="B3" i="56" s="1"/>
  <c r="E23" i="55"/>
  <c r="C23" i="55"/>
  <c r="E22" i="55"/>
  <c r="E21" i="55"/>
  <c r="C21" i="55"/>
  <c r="E20" i="55"/>
  <c r="C20" i="55"/>
  <c r="E19" i="55"/>
  <c r="E18" i="55"/>
  <c r="C18" i="55"/>
  <c r="E17" i="55"/>
  <c r="E16" i="55"/>
  <c r="C16" i="55"/>
  <c r="E15" i="55"/>
  <c r="E14" i="55"/>
  <c r="C14" i="55"/>
  <c r="E13" i="55"/>
  <c r="E12" i="55"/>
  <c r="C12" i="55"/>
  <c r="E11" i="55"/>
  <c r="E10" i="55"/>
  <c r="C10" i="55"/>
  <c r="E9" i="55"/>
  <c r="C9" i="55"/>
  <c r="B2" i="55"/>
  <c r="B5" i="55" s="1"/>
  <c r="E23" i="54"/>
  <c r="C23" i="54"/>
  <c r="E22" i="54"/>
  <c r="E21" i="54"/>
  <c r="C21" i="54"/>
  <c r="E20" i="54"/>
  <c r="C20" i="54"/>
  <c r="E19" i="54"/>
  <c r="E18" i="54"/>
  <c r="C18" i="54"/>
  <c r="E17" i="54"/>
  <c r="E16" i="54"/>
  <c r="C16" i="54"/>
  <c r="E15" i="54"/>
  <c r="E14" i="54"/>
  <c r="C14" i="54"/>
  <c r="E13" i="54"/>
  <c r="E12" i="54"/>
  <c r="C12" i="54"/>
  <c r="E11" i="54"/>
  <c r="E10" i="54"/>
  <c r="C10" i="54"/>
  <c r="E9" i="54"/>
  <c r="C9" i="54"/>
  <c r="B2" i="54"/>
  <c r="B3" i="54" s="1"/>
  <c r="E27" i="53"/>
  <c r="E26" i="53"/>
  <c r="C26" i="53"/>
  <c r="E25" i="53"/>
  <c r="C25" i="53"/>
  <c r="E24" i="53"/>
  <c r="C24" i="53"/>
  <c r="E23" i="53"/>
  <c r="E22" i="53"/>
  <c r="C22" i="53"/>
  <c r="E21" i="53"/>
  <c r="C21" i="53"/>
  <c r="E20" i="53"/>
  <c r="E19" i="53"/>
  <c r="C19" i="53"/>
  <c r="E18" i="53"/>
  <c r="E17" i="53"/>
  <c r="C17" i="53"/>
  <c r="E16" i="53"/>
  <c r="E15" i="53"/>
  <c r="C15" i="53"/>
  <c r="E14" i="53"/>
  <c r="E13" i="53"/>
  <c r="C13" i="53"/>
  <c r="E12" i="53"/>
  <c r="E11" i="53"/>
  <c r="C11" i="53"/>
  <c r="E10" i="53"/>
  <c r="C10" i="53"/>
  <c r="E9" i="53"/>
  <c r="C9" i="53"/>
  <c r="B2" i="53"/>
  <c r="B3" i="53" s="1"/>
  <c r="E10" i="52"/>
  <c r="E11" i="52"/>
  <c r="E12" i="52"/>
  <c r="E13" i="52"/>
  <c r="E14" i="52"/>
  <c r="E15" i="52"/>
  <c r="E16" i="52"/>
  <c r="E17" i="52"/>
  <c r="E18" i="52"/>
  <c r="E19" i="52"/>
  <c r="E20" i="52"/>
  <c r="E9" i="52"/>
  <c r="C10" i="52"/>
  <c r="C11" i="52"/>
  <c r="C13" i="52"/>
  <c r="C15" i="52"/>
  <c r="C17" i="52"/>
  <c r="C19" i="52"/>
  <c r="C20" i="52"/>
  <c r="C9" i="52"/>
  <c r="B2" i="52"/>
  <c r="B5" i="52" s="1"/>
  <c r="E24" i="51"/>
  <c r="E23" i="51"/>
  <c r="C23" i="51"/>
  <c r="E22" i="51"/>
  <c r="E21" i="51"/>
  <c r="C21" i="51"/>
  <c r="E20" i="51"/>
  <c r="C20" i="51"/>
  <c r="E19" i="51"/>
  <c r="C19" i="51"/>
  <c r="E18" i="51"/>
  <c r="C18" i="51"/>
  <c r="E17" i="51"/>
  <c r="C17" i="51"/>
  <c r="E16" i="51"/>
  <c r="C16" i="51"/>
  <c r="E15" i="51"/>
  <c r="C15" i="51"/>
  <c r="E14" i="51"/>
  <c r="C14" i="51"/>
  <c r="E13" i="51"/>
  <c r="C13" i="51"/>
  <c r="E12" i="51"/>
  <c r="C12" i="51"/>
  <c r="E11" i="51"/>
  <c r="C11" i="51"/>
  <c r="E10" i="51"/>
  <c r="C10" i="51"/>
  <c r="E9" i="51"/>
  <c r="C9" i="51"/>
  <c r="B2" i="51"/>
  <c r="B3" i="51" s="1"/>
  <c r="E23" i="50"/>
  <c r="C23" i="50"/>
  <c r="E22" i="50"/>
  <c r="E21" i="50"/>
  <c r="C21" i="50"/>
  <c r="E20" i="50"/>
  <c r="E19" i="50"/>
  <c r="C19" i="50"/>
  <c r="E18" i="50"/>
  <c r="E17" i="50"/>
  <c r="C17" i="50"/>
  <c r="E16" i="50"/>
  <c r="E15" i="50"/>
  <c r="C15" i="50"/>
  <c r="E14" i="50"/>
  <c r="E13" i="50"/>
  <c r="C13" i="50"/>
  <c r="E12" i="50"/>
  <c r="E11" i="50"/>
  <c r="C11" i="50"/>
  <c r="E10" i="50"/>
  <c r="C10" i="50"/>
  <c r="E9" i="50"/>
  <c r="C9" i="50"/>
  <c r="B2" i="50"/>
  <c r="B3" i="50" s="1"/>
  <c r="E24" i="49"/>
  <c r="E23" i="49"/>
  <c r="C23" i="49"/>
  <c r="E22" i="49"/>
  <c r="E21" i="49"/>
  <c r="C21" i="49"/>
  <c r="E20" i="49"/>
  <c r="E19" i="49"/>
  <c r="C19" i="49"/>
  <c r="E18" i="49"/>
  <c r="E17" i="49"/>
  <c r="C17" i="49"/>
  <c r="E16" i="49"/>
  <c r="E15" i="49"/>
  <c r="C15" i="49"/>
  <c r="E14" i="49"/>
  <c r="E13" i="49"/>
  <c r="C13" i="49"/>
  <c r="E12" i="49"/>
  <c r="E11" i="49"/>
  <c r="C11" i="49"/>
  <c r="E10" i="49"/>
  <c r="C10" i="49"/>
  <c r="E9" i="49"/>
  <c r="C9" i="49"/>
  <c r="B2" i="49"/>
  <c r="B3" i="49" s="1"/>
  <c r="E23" i="48"/>
  <c r="C23" i="48"/>
  <c r="E22" i="48"/>
  <c r="E21" i="48"/>
  <c r="C21" i="48"/>
  <c r="E20" i="48"/>
  <c r="E19" i="48"/>
  <c r="C19" i="48"/>
  <c r="E18" i="48"/>
  <c r="E17" i="48"/>
  <c r="C17" i="48"/>
  <c r="E16" i="48"/>
  <c r="E15" i="48"/>
  <c r="C15" i="48"/>
  <c r="E14" i="48"/>
  <c r="E13" i="48"/>
  <c r="C13" i="48"/>
  <c r="E12" i="48"/>
  <c r="E11" i="48"/>
  <c r="C11" i="48"/>
  <c r="E10" i="48"/>
  <c r="C10" i="48"/>
  <c r="E9" i="48"/>
  <c r="C9" i="48"/>
  <c r="B2" i="48"/>
  <c r="B3" i="48" s="1"/>
  <c r="B4" i="79" l="1"/>
  <c r="B5" i="79"/>
  <c r="B4" i="78"/>
  <c r="B5" i="78"/>
  <c r="B4" i="77"/>
  <c r="B5" i="77"/>
  <c r="B4" i="76"/>
  <c r="B5" i="76"/>
  <c r="B4" i="75"/>
  <c r="B5" i="75"/>
  <c r="B4" i="74"/>
  <c r="B5" i="74"/>
  <c r="B4" i="73"/>
  <c r="B5" i="73"/>
  <c r="B4" i="72"/>
  <c r="B5" i="72"/>
  <c r="B4" i="71"/>
  <c r="B5" i="71"/>
  <c r="B4" i="70"/>
  <c r="B5" i="70"/>
  <c r="B4" i="69"/>
  <c r="B5" i="69"/>
  <c r="B4" i="68"/>
  <c r="B5" i="68"/>
  <c r="B4" i="67"/>
  <c r="B5" i="67"/>
  <c r="B4" i="66"/>
  <c r="B5" i="66"/>
  <c r="B3" i="65"/>
  <c r="B4" i="65"/>
  <c r="B4" i="64"/>
  <c r="B5" i="64"/>
  <c r="B4" i="63"/>
  <c r="B5" i="63"/>
  <c r="B4" i="62"/>
  <c r="B5" i="62"/>
  <c r="B4" i="61"/>
  <c r="B5" i="61"/>
  <c r="B4" i="60"/>
  <c r="B5" i="60"/>
  <c r="B4" i="59"/>
  <c r="B5" i="59"/>
  <c r="B5" i="57"/>
  <c r="B4" i="57"/>
  <c r="B4" i="56"/>
  <c r="B5" i="56"/>
  <c r="B3" i="55"/>
  <c r="B4" i="55"/>
  <c r="B4" i="54"/>
  <c r="B5" i="54"/>
  <c r="B4" i="53"/>
  <c r="B5" i="53"/>
  <c r="B3" i="52"/>
  <c r="B4" i="51"/>
  <c r="B5" i="51"/>
  <c r="B4" i="52"/>
  <c r="B4" i="50"/>
  <c r="B5" i="50"/>
  <c r="B4" i="49"/>
  <c r="B5" i="49"/>
  <c r="B4" i="48"/>
  <c r="B5" i="48"/>
  <c r="C10" i="47"/>
  <c r="C11" i="47"/>
  <c r="C13" i="47"/>
  <c r="C15" i="47"/>
  <c r="C17" i="47"/>
  <c r="C19" i="47"/>
  <c r="C21" i="47"/>
  <c r="C23" i="47"/>
  <c r="C24" i="47"/>
  <c r="C9" i="47"/>
  <c r="E10" i="47"/>
  <c r="E11" i="47"/>
  <c r="E12" i="47"/>
  <c r="E13" i="47"/>
  <c r="E14" i="47"/>
  <c r="E15" i="47"/>
  <c r="E16" i="47"/>
  <c r="E17" i="47"/>
  <c r="E18" i="47"/>
  <c r="E19" i="47"/>
  <c r="E20" i="47"/>
  <c r="E21" i="47"/>
  <c r="E22" i="47"/>
  <c r="E23" i="47"/>
  <c r="E24" i="47"/>
  <c r="E9" i="47"/>
  <c r="E10" i="46"/>
  <c r="E11" i="46"/>
  <c r="E12" i="46"/>
  <c r="E13" i="46"/>
  <c r="E14" i="46"/>
  <c r="E15" i="46"/>
  <c r="E16" i="46"/>
  <c r="E17" i="46"/>
  <c r="E18" i="46"/>
  <c r="E19" i="46"/>
  <c r="E20" i="46"/>
  <c r="E21" i="46"/>
  <c r="E22" i="46"/>
  <c r="E23" i="46"/>
  <c r="E24" i="46"/>
  <c r="E9" i="46"/>
  <c r="C10" i="46"/>
  <c r="C11" i="46"/>
  <c r="C13" i="46"/>
  <c r="C15" i="46"/>
  <c r="C17" i="46"/>
  <c r="C19" i="46"/>
  <c r="C21" i="46"/>
  <c r="C23" i="46"/>
  <c r="C24" i="46"/>
  <c r="C9" i="46"/>
  <c r="C10" i="45"/>
  <c r="C12" i="45"/>
  <c r="C14" i="45"/>
  <c r="C16" i="45"/>
  <c r="C17" i="45"/>
  <c r="C9" i="45"/>
  <c r="E10" i="45"/>
  <c r="E11" i="45"/>
  <c r="E12" i="45"/>
  <c r="E13" i="45"/>
  <c r="E14" i="45"/>
  <c r="E15" i="45"/>
  <c r="E16" i="45"/>
  <c r="E17" i="45"/>
  <c r="E9" i="45"/>
  <c r="E10" i="44"/>
  <c r="E11" i="44"/>
  <c r="E12" i="44"/>
  <c r="E13" i="44"/>
  <c r="E14" i="44"/>
  <c r="E15" i="44"/>
  <c r="E16" i="44"/>
  <c r="E17" i="44"/>
  <c r="E9" i="44"/>
  <c r="C10" i="44"/>
  <c r="C12" i="44"/>
  <c r="C14" i="44"/>
  <c r="C16" i="44"/>
  <c r="C17" i="44"/>
  <c r="C9" i="44"/>
  <c r="C10" i="43"/>
  <c r="C12" i="43"/>
  <c r="C14" i="43"/>
  <c r="C17" i="43"/>
  <c r="C9" i="43"/>
  <c r="E10" i="43"/>
  <c r="E11" i="43"/>
  <c r="E12" i="43"/>
  <c r="E13" i="43"/>
  <c r="E14" i="43"/>
  <c r="E15" i="43"/>
  <c r="E16" i="43"/>
  <c r="E17" i="43"/>
  <c r="E9" i="43"/>
  <c r="E10" i="42"/>
  <c r="E11" i="42"/>
  <c r="E12" i="42"/>
  <c r="E13" i="42"/>
  <c r="E14" i="42"/>
  <c r="E15" i="42"/>
  <c r="E16" i="42"/>
  <c r="E9" i="42"/>
  <c r="C10" i="42"/>
  <c r="C11" i="42"/>
  <c r="C13" i="42"/>
  <c r="C15" i="42"/>
  <c r="C16" i="42"/>
  <c r="C9" i="42"/>
  <c r="C10" i="41"/>
  <c r="C11" i="41"/>
  <c r="C13" i="41"/>
  <c r="C15" i="41"/>
  <c r="C17" i="41"/>
  <c r="C19" i="41"/>
  <c r="C21" i="41"/>
  <c r="C23" i="41"/>
  <c r="C24" i="41"/>
  <c r="C25" i="41"/>
  <c r="C9" i="41"/>
  <c r="E10" i="41"/>
  <c r="E11" i="41"/>
  <c r="E12" i="41"/>
  <c r="E13" i="41"/>
  <c r="E14" i="41"/>
  <c r="E15" i="41"/>
  <c r="E16" i="41"/>
  <c r="E17" i="41"/>
  <c r="E18" i="41"/>
  <c r="E19" i="41"/>
  <c r="E20" i="41"/>
  <c r="E21" i="41"/>
  <c r="E22" i="41"/>
  <c r="E23" i="41"/>
  <c r="E24" i="41"/>
  <c r="E25" i="41"/>
  <c r="E9" i="41"/>
  <c r="E10" i="40"/>
  <c r="E11" i="40"/>
  <c r="E12" i="40"/>
  <c r="E13" i="40"/>
  <c r="E14" i="40"/>
  <c r="E15" i="40"/>
  <c r="E16" i="40"/>
  <c r="E17" i="40"/>
  <c r="E18" i="40"/>
  <c r="E19" i="40"/>
  <c r="E20" i="40"/>
  <c r="E21" i="40"/>
  <c r="E22" i="40"/>
  <c r="E23" i="40"/>
  <c r="E24" i="40"/>
  <c r="E9" i="40"/>
  <c r="C10" i="40"/>
  <c r="C11" i="40"/>
  <c r="C13" i="40"/>
  <c r="C15" i="40"/>
  <c r="C17" i="40"/>
  <c r="C19" i="40"/>
  <c r="C21" i="40"/>
  <c r="C23" i="40"/>
  <c r="C24" i="40"/>
  <c r="C9" i="40"/>
  <c r="C10" i="39"/>
  <c r="C11" i="39"/>
  <c r="C13" i="39"/>
  <c r="C15" i="39"/>
  <c r="C17" i="39"/>
  <c r="C19" i="39"/>
  <c r="C21" i="39"/>
  <c r="C23" i="39"/>
  <c r="C24" i="39"/>
  <c r="C25" i="39"/>
  <c r="C9" i="39"/>
  <c r="E10" i="39"/>
  <c r="E11" i="39"/>
  <c r="E12" i="39"/>
  <c r="E13" i="39"/>
  <c r="E14" i="39"/>
  <c r="E15" i="39"/>
  <c r="E16" i="39"/>
  <c r="E17" i="39"/>
  <c r="E18" i="39"/>
  <c r="E19" i="39"/>
  <c r="E20" i="39"/>
  <c r="E21" i="39"/>
  <c r="E22" i="39"/>
  <c r="E23" i="39"/>
  <c r="E24" i="39"/>
  <c r="E25" i="39"/>
  <c r="E9" i="39"/>
  <c r="E10" i="38"/>
  <c r="E11" i="38"/>
  <c r="E12" i="38"/>
  <c r="E13" i="38"/>
  <c r="E14" i="38"/>
  <c r="E15" i="38"/>
  <c r="E16" i="38"/>
  <c r="E17" i="38"/>
  <c r="E18" i="38"/>
  <c r="E19" i="38"/>
  <c r="E20" i="38"/>
  <c r="E21" i="38"/>
  <c r="E22" i="38"/>
  <c r="E23" i="38"/>
  <c r="E24" i="38"/>
  <c r="E9" i="38"/>
  <c r="C10" i="38"/>
  <c r="C11" i="38"/>
  <c r="C13" i="38"/>
  <c r="C15" i="38"/>
  <c r="C17" i="38"/>
  <c r="C19" i="38"/>
  <c r="C21" i="38"/>
  <c r="C23" i="38"/>
  <c r="C24" i="38"/>
  <c r="C9" i="38"/>
  <c r="C11" i="37"/>
  <c r="C13" i="37"/>
  <c r="C15" i="37"/>
  <c r="C17" i="37"/>
  <c r="C19" i="37"/>
  <c r="C21" i="37"/>
  <c r="C23" i="37"/>
  <c r="C24" i="37"/>
  <c r="C25" i="37"/>
  <c r="C10" i="37"/>
  <c r="E11" i="37"/>
  <c r="E12" i="37"/>
  <c r="E13" i="37"/>
  <c r="E14" i="37"/>
  <c r="E15" i="37"/>
  <c r="E16" i="37"/>
  <c r="E17" i="37"/>
  <c r="E18" i="37"/>
  <c r="E19" i="37"/>
  <c r="E20" i="37"/>
  <c r="E21" i="37"/>
  <c r="E22" i="37"/>
  <c r="E23" i="37"/>
  <c r="E24" i="37"/>
  <c r="E25" i="37"/>
  <c r="E10" i="37"/>
  <c r="E10" i="36"/>
  <c r="E11" i="36"/>
  <c r="E12" i="36"/>
  <c r="E13" i="36"/>
  <c r="E14" i="36"/>
  <c r="E15" i="36"/>
  <c r="E16" i="36"/>
  <c r="E17" i="36"/>
  <c r="E18" i="36"/>
  <c r="E19" i="36"/>
  <c r="E20" i="36"/>
  <c r="E21" i="36"/>
  <c r="E22" i="36"/>
  <c r="E23" i="36"/>
  <c r="E24" i="36"/>
  <c r="E9" i="36"/>
  <c r="C10" i="36"/>
  <c r="C11" i="36"/>
  <c r="C13" i="36"/>
  <c r="C15" i="36"/>
  <c r="C17" i="36"/>
  <c r="C19" i="36"/>
  <c r="C21" i="36"/>
  <c r="C23" i="36"/>
  <c r="C24" i="36"/>
  <c r="C9" i="36"/>
  <c r="C10" i="35"/>
  <c r="C11" i="35"/>
  <c r="C13" i="35"/>
  <c r="C15" i="35"/>
  <c r="C17" i="35"/>
  <c r="C19" i="35"/>
  <c r="C21" i="35"/>
  <c r="C24" i="35"/>
  <c r="C25" i="35"/>
  <c r="C9" i="35"/>
  <c r="E10" i="35"/>
  <c r="E11" i="35"/>
  <c r="E12" i="35"/>
  <c r="E13" i="35"/>
  <c r="E14" i="35"/>
  <c r="E15" i="35"/>
  <c r="E16" i="35"/>
  <c r="E17" i="35"/>
  <c r="E18" i="35"/>
  <c r="E19" i="35"/>
  <c r="E20" i="35"/>
  <c r="E21" i="35"/>
  <c r="E22" i="35"/>
  <c r="E24" i="35"/>
  <c r="E25" i="35"/>
  <c r="E9" i="35"/>
  <c r="E10" i="34"/>
  <c r="E11" i="34"/>
  <c r="E12" i="34"/>
  <c r="E13" i="34"/>
  <c r="E14" i="34"/>
  <c r="E15" i="34"/>
  <c r="E16" i="34"/>
  <c r="E17" i="34"/>
  <c r="E18" i="34"/>
  <c r="E19" i="34"/>
  <c r="E20" i="34"/>
  <c r="E23" i="34"/>
  <c r="E24" i="34"/>
  <c r="E9" i="34"/>
  <c r="C10" i="34"/>
  <c r="C11" i="34"/>
  <c r="C13" i="34"/>
  <c r="C15" i="34"/>
  <c r="C17" i="34"/>
  <c r="C19" i="34"/>
  <c r="C23" i="34"/>
  <c r="C24" i="34"/>
  <c r="C9" i="34"/>
  <c r="C10" i="33"/>
  <c r="C11" i="33"/>
  <c r="C15" i="33"/>
  <c r="C17" i="33"/>
  <c r="C21" i="33"/>
  <c r="C22" i="33"/>
  <c r="C9" i="33"/>
  <c r="E10" i="33"/>
  <c r="E11" i="33"/>
  <c r="E12" i="33"/>
  <c r="E13" i="33"/>
  <c r="E14" i="33"/>
  <c r="E15" i="33"/>
  <c r="E16" i="33"/>
  <c r="E17" i="33"/>
  <c r="E18" i="33"/>
  <c r="E19" i="33"/>
  <c r="E20" i="33"/>
  <c r="E21" i="33"/>
  <c r="E22" i="33"/>
  <c r="E9" i="33"/>
  <c r="E10" i="32"/>
  <c r="E11" i="32"/>
  <c r="E12" i="32"/>
  <c r="E13" i="32"/>
  <c r="E14" i="32"/>
  <c r="E15" i="32"/>
  <c r="E16" i="32"/>
  <c r="E17" i="32"/>
  <c r="E18" i="32"/>
  <c r="E21" i="32"/>
  <c r="E22" i="32"/>
  <c r="E9" i="32"/>
  <c r="C10" i="32"/>
  <c r="C11" i="32"/>
  <c r="C13" i="32"/>
  <c r="C15" i="32"/>
  <c r="C17" i="32"/>
  <c r="C21" i="32"/>
  <c r="C22" i="32"/>
  <c r="C9" i="32"/>
  <c r="C10" i="31"/>
  <c r="C11" i="31"/>
  <c r="C13" i="31"/>
  <c r="C15" i="31"/>
  <c r="C17" i="31"/>
  <c r="C19" i="31"/>
  <c r="C20" i="31"/>
  <c r="C9" i="31"/>
  <c r="E10" i="31"/>
  <c r="E11" i="31"/>
  <c r="E12" i="31"/>
  <c r="E13" i="31"/>
  <c r="E14" i="31"/>
  <c r="E15" i="31"/>
  <c r="E16" i="31"/>
  <c r="E17" i="31"/>
  <c r="E18" i="31"/>
  <c r="E19" i="31"/>
  <c r="E20" i="31"/>
  <c r="E9" i="31"/>
  <c r="E10" i="30"/>
  <c r="E11" i="30"/>
  <c r="E12" i="30"/>
  <c r="E13" i="30"/>
  <c r="E14" i="30"/>
  <c r="E15" i="30"/>
  <c r="E16" i="30"/>
  <c r="E17" i="30"/>
  <c r="E18" i="30"/>
  <c r="E19" i="30"/>
  <c r="E20" i="30"/>
  <c r="E9" i="30"/>
  <c r="C10" i="30"/>
  <c r="C11" i="30"/>
  <c r="C13" i="30"/>
  <c r="C15" i="30"/>
  <c r="C17" i="30"/>
  <c r="C19" i="30"/>
  <c r="C20" i="30"/>
  <c r="C9" i="30"/>
  <c r="C10" i="29"/>
  <c r="C11" i="29"/>
  <c r="C13" i="29"/>
  <c r="C15" i="29"/>
  <c r="C17" i="29"/>
  <c r="C20" i="29"/>
  <c r="C21" i="29"/>
  <c r="C9" i="29"/>
  <c r="E10" i="29"/>
  <c r="E11" i="29"/>
  <c r="E12" i="29"/>
  <c r="E13" i="29"/>
  <c r="E14" i="29"/>
  <c r="E15" i="29"/>
  <c r="E16" i="29"/>
  <c r="E17" i="29"/>
  <c r="E18" i="29"/>
  <c r="E20" i="29"/>
  <c r="E21" i="29"/>
  <c r="E9" i="29"/>
  <c r="E10" i="28"/>
  <c r="E11" i="28"/>
  <c r="E12" i="28"/>
  <c r="E13" i="28"/>
  <c r="E14" i="28"/>
  <c r="E15" i="28"/>
  <c r="E16" i="28"/>
  <c r="E17" i="28"/>
  <c r="E18" i="28"/>
  <c r="E19" i="28"/>
  <c r="E20" i="28"/>
  <c r="E21" i="28"/>
  <c r="E22" i="28"/>
  <c r="E9" i="28"/>
  <c r="C10" i="28"/>
  <c r="C11" i="28"/>
  <c r="C13" i="28"/>
  <c r="C15" i="28"/>
  <c r="C17" i="28"/>
  <c r="C19" i="28"/>
  <c r="C21" i="28"/>
  <c r="C22" i="28"/>
  <c r="C9" i="28"/>
  <c r="C13" i="27"/>
  <c r="C15" i="27"/>
  <c r="C17" i="27"/>
  <c r="C19" i="27"/>
  <c r="C20" i="27"/>
  <c r="C10" i="27"/>
  <c r="E11" i="27"/>
  <c r="E12" i="27"/>
  <c r="E13" i="27"/>
  <c r="E14" i="27"/>
  <c r="E15" i="27"/>
  <c r="E16" i="27"/>
  <c r="E17" i="27"/>
  <c r="E18" i="27"/>
  <c r="E19" i="27"/>
  <c r="E20" i="27"/>
  <c r="E10" i="27"/>
  <c r="E11" i="26"/>
  <c r="E12" i="26"/>
  <c r="E13" i="26"/>
  <c r="E14" i="26"/>
  <c r="E15" i="26"/>
  <c r="E16" i="26"/>
  <c r="E17" i="26"/>
  <c r="E18" i="26"/>
  <c r="E19" i="26"/>
  <c r="E20" i="26"/>
  <c r="E10" i="26"/>
  <c r="C11" i="26"/>
  <c r="C15" i="26"/>
  <c r="C17" i="26"/>
  <c r="C19" i="26"/>
  <c r="C20" i="26"/>
  <c r="C10" i="26"/>
  <c r="C11" i="25"/>
  <c r="C13" i="25"/>
  <c r="C15" i="25"/>
  <c r="C17" i="25"/>
  <c r="C19" i="25"/>
  <c r="C20" i="25"/>
  <c r="C10" i="25"/>
  <c r="E11" i="25"/>
  <c r="E12" i="25"/>
  <c r="E13" i="25"/>
  <c r="E14" i="25"/>
  <c r="E15" i="25"/>
  <c r="E16" i="25"/>
  <c r="E17" i="25"/>
  <c r="E18" i="25"/>
  <c r="E19" i="25"/>
  <c r="E20" i="25"/>
  <c r="E10" i="25"/>
  <c r="E10" i="24"/>
  <c r="E11" i="24"/>
  <c r="E12" i="24"/>
  <c r="E13" i="24"/>
  <c r="E14" i="24"/>
  <c r="E15" i="24"/>
  <c r="E16" i="24"/>
  <c r="E9" i="24"/>
  <c r="C10" i="24"/>
  <c r="C11" i="24"/>
  <c r="C13" i="24"/>
  <c r="C15" i="24"/>
  <c r="C16" i="24"/>
  <c r="C9" i="24"/>
  <c r="C10" i="23"/>
  <c r="C11" i="23"/>
  <c r="C13" i="23"/>
  <c r="C15" i="23"/>
  <c r="C17" i="23"/>
  <c r="C19" i="23"/>
  <c r="C20" i="23"/>
  <c r="C9" i="23"/>
  <c r="E10" i="23"/>
  <c r="E11" i="23"/>
  <c r="E12" i="23"/>
  <c r="E13" i="23"/>
  <c r="E14" i="23"/>
  <c r="E15" i="23"/>
  <c r="E16" i="23"/>
  <c r="E17" i="23"/>
  <c r="E18" i="23"/>
  <c r="E19" i="23"/>
  <c r="E20" i="23"/>
  <c r="E9" i="23"/>
  <c r="E10" i="22"/>
  <c r="E11" i="22"/>
  <c r="E12" i="22"/>
  <c r="E13" i="22"/>
  <c r="E14" i="22"/>
  <c r="E15" i="22"/>
  <c r="E16" i="22"/>
  <c r="E17" i="22"/>
  <c r="E18" i="22"/>
  <c r="E19" i="22"/>
  <c r="E20" i="22"/>
  <c r="E21" i="22"/>
  <c r="E22" i="22"/>
  <c r="E23" i="22"/>
  <c r="E24" i="22"/>
  <c r="E25" i="22"/>
  <c r="E26" i="22"/>
  <c r="E9" i="22"/>
  <c r="C10" i="22"/>
  <c r="C11" i="22"/>
  <c r="C13" i="22"/>
  <c r="C19" i="22"/>
  <c r="C20" i="22"/>
  <c r="C24" i="22"/>
  <c r="C25" i="22"/>
  <c r="C9" i="22"/>
  <c r="C11" i="21"/>
  <c r="C13" i="21"/>
  <c r="C15" i="21"/>
  <c r="C17" i="21"/>
  <c r="C18" i="21"/>
  <c r="C10" i="21"/>
  <c r="E11" i="21"/>
  <c r="E12" i="21"/>
  <c r="E13" i="21"/>
  <c r="E14" i="21"/>
  <c r="E15" i="21"/>
  <c r="E16" i="21"/>
  <c r="E17" i="21"/>
  <c r="E18" i="21"/>
  <c r="E10" i="21"/>
  <c r="E10" i="20"/>
  <c r="E11" i="20"/>
  <c r="E12" i="20"/>
  <c r="E13" i="20"/>
  <c r="E14" i="20"/>
  <c r="E15" i="20"/>
  <c r="E16" i="20"/>
  <c r="E17" i="20"/>
  <c r="E18" i="20"/>
  <c r="E9" i="20"/>
  <c r="C10" i="20"/>
  <c r="C11" i="20"/>
  <c r="C13" i="20"/>
  <c r="C15" i="20"/>
  <c r="C17" i="20"/>
  <c r="C18" i="20"/>
  <c r="C9" i="20"/>
  <c r="C10" i="19"/>
  <c r="C11" i="19"/>
  <c r="C13" i="19"/>
  <c r="C15" i="19"/>
  <c r="C17" i="19"/>
  <c r="C19" i="19"/>
  <c r="C21" i="19"/>
  <c r="C23" i="19"/>
  <c r="C24" i="19"/>
  <c r="C26" i="19"/>
  <c r="C27" i="19"/>
  <c r="C29" i="19"/>
  <c r="C30" i="19"/>
  <c r="C9" i="19"/>
  <c r="E10" i="19"/>
  <c r="E11" i="19"/>
  <c r="E12" i="19"/>
  <c r="E13" i="19"/>
  <c r="E14" i="19"/>
  <c r="E15" i="19"/>
  <c r="E16" i="19"/>
  <c r="E17" i="19"/>
  <c r="E18" i="19"/>
  <c r="E19" i="19"/>
  <c r="E20" i="19"/>
  <c r="E21" i="19"/>
  <c r="E22" i="19"/>
  <c r="E23" i="19"/>
  <c r="E24" i="19"/>
  <c r="E25" i="19"/>
  <c r="E26" i="19"/>
  <c r="E27" i="19"/>
  <c r="E28" i="19"/>
  <c r="E29" i="19"/>
  <c r="E30" i="19"/>
  <c r="E9" i="19"/>
  <c r="E10" i="18"/>
  <c r="E11" i="18"/>
  <c r="E12" i="18"/>
  <c r="E13" i="18"/>
  <c r="E14" i="18"/>
  <c r="E15" i="18"/>
  <c r="E16" i="18"/>
  <c r="E17" i="18"/>
  <c r="E18" i="18"/>
  <c r="E19" i="18"/>
  <c r="E20" i="18"/>
  <c r="E21" i="18"/>
  <c r="E22" i="18"/>
  <c r="E23" i="18"/>
  <c r="E24" i="18"/>
  <c r="E9" i="18"/>
  <c r="C10" i="18"/>
  <c r="C11" i="18"/>
  <c r="C13" i="18"/>
  <c r="C15" i="18"/>
  <c r="C17" i="18"/>
  <c r="C19" i="18"/>
  <c r="C21" i="18"/>
  <c r="C23" i="18"/>
  <c r="C24" i="18"/>
  <c r="C9" i="18"/>
  <c r="C10" i="17"/>
  <c r="C11" i="17"/>
  <c r="C13" i="17"/>
  <c r="C15" i="17"/>
  <c r="C17" i="17"/>
  <c r="C19" i="17"/>
  <c r="C20" i="17"/>
  <c r="C21" i="17"/>
  <c r="C9" i="17"/>
  <c r="E10" i="17"/>
  <c r="E11" i="17"/>
  <c r="E12" i="17"/>
  <c r="E13" i="17"/>
  <c r="E14" i="17"/>
  <c r="E15" i="17"/>
  <c r="E16" i="17"/>
  <c r="E17" i="17"/>
  <c r="E18" i="17"/>
  <c r="E19" i="17"/>
  <c r="E20" i="17"/>
  <c r="E21" i="17"/>
  <c r="E9" i="17"/>
  <c r="E10" i="16"/>
  <c r="E11" i="16"/>
  <c r="E12" i="16"/>
  <c r="E13" i="16"/>
  <c r="E14" i="16"/>
  <c r="E15" i="16"/>
  <c r="E16" i="16"/>
  <c r="E17" i="16"/>
  <c r="E18" i="16"/>
  <c r="E19" i="16"/>
  <c r="E20" i="16"/>
  <c r="E21" i="16"/>
  <c r="E9" i="16"/>
  <c r="C10" i="15"/>
  <c r="C11" i="15"/>
  <c r="C13" i="15"/>
  <c r="C15" i="15"/>
  <c r="C17" i="15"/>
  <c r="C21" i="15"/>
  <c r="C22" i="15"/>
  <c r="C9" i="15"/>
  <c r="E10" i="15"/>
  <c r="E11" i="15"/>
  <c r="E12" i="15"/>
  <c r="E13" i="15"/>
  <c r="E14" i="15"/>
  <c r="E15" i="15"/>
  <c r="E16" i="15"/>
  <c r="E17" i="15"/>
  <c r="E18" i="15"/>
  <c r="E21" i="15"/>
  <c r="E22" i="15"/>
  <c r="E23" i="15"/>
  <c r="E9" i="15"/>
  <c r="E9" i="14"/>
  <c r="E10" i="14"/>
  <c r="E11" i="14"/>
  <c r="E12" i="14"/>
  <c r="E13" i="14"/>
  <c r="E14" i="14"/>
  <c r="E15" i="14"/>
  <c r="E16" i="14"/>
  <c r="E17" i="14"/>
  <c r="E18" i="14"/>
  <c r="E19" i="14"/>
  <c r="C9" i="14"/>
  <c r="C10" i="14"/>
  <c r="C11" i="14"/>
  <c r="C13" i="14"/>
  <c r="C15" i="14"/>
  <c r="C17" i="14"/>
  <c r="C19" i="14"/>
  <c r="C10" i="13"/>
  <c r="C11" i="13"/>
  <c r="C13" i="13"/>
  <c r="C15" i="13"/>
  <c r="C17" i="13"/>
  <c r="C19" i="13"/>
  <c r="C20" i="13"/>
  <c r="C9" i="13"/>
  <c r="E10" i="13"/>
  <c r="E11" i="13"/>
  <c r="E12" i="13"/>
  <c r="E13" i="13"/>
  <c r="E14" i="13"/>
  <c r="E15" i="13"/>
  <c r="E16" i="13"/>
  <c r="E17" i="13"/>
  <c r="E18" i="13"/>
  <c r="E19" i="13"/>
  <c r="E20" i="13"/>
  <c r="E9" i="13"/>
  <c r="E10" i="12"/>
  <c r="E11" i="12"/>
  <c r="E12" i="12"/>
  <c r="E13" i="12"/>
  <c r="E14" i="12"/>
  <c r="E15" i="12"/>
  <c r="E16" i="12"/>
  <c r="E17" i="12"/>
  <c r="E18" i="12"/>
  <c r="E19" i="12"/>
  <c r="E20" i="12"/>
  <c r="E21" i="12"/>
  <c r="E22" i="12"/>
  <c r="E23" i="12"/>
  <c r="E24" i="12"/>
  <c r="E9" i="12"/>
  <c r="C10" i="12"/>
  <c r="C11" i="12"/>
  <c r="C13" i="12"/>
  <c r="C15" i="12"/>
  <c r="C17" i="12"/>
  <c r="C19" i="12"/>
  <c r="C21" i="12"/>
  <c r="C23" i="12"/>
  <c r="C24" i="12"/>
  <c r="C9" i="12"/>
  <c r="E10" i="11"/>
  <c r="E11" i="11"/>
  <c r="E12" i="11"/>
  <c r="E13" i="11"/>
  <c r="E14" i="11"/>
  <c r="E15" i="11"/>
  <c r="E16" i="11"/>
  <c r="E17" i="11"/>
  <c r="E18" i="11"/>
  <c r="E19" i="11"/>
  <c r="E20" i="11"/>
  <c r="E21" i="11"/>
  <c r="E22" i="11"/>
  <c r="E23" i="11"/>
  <c r="E24" i="11"/>
  <c r="E9" i="11"/>
  <c r="C10" i="11"/>
  <c r="C11" i="11"/>
  <c r="C13" i="11"/>
  <c r="C15" i="11"/>
  <c r="C17" i="11"/>
  <c r="C19" i="11"/>
  <c r="C21" i="11"/>
  <c r="C23" i="11"/>
  <c r="C24" i="11"/>
  <c r="C9" i="11"/>
  <c r="C10" i="10"/>
  <c r="E10" i="10"/>
  <c r="E11" i="10"/>
  <c r="E12" i="10"/>
  <c r="E11" i="9"/>
  <c r="E12" i="9"/>
  <c r="E13" i="9"/>
  <c r="E14" i="9"/>
  <c r="E15" i="9"/>
  <c r="E16" i="9"/>
  <c r="E10" i="9"/>
  <c r="C11" i="9"/>
  <c r="C13" i="9"/>
  <c r="C15" i="9"/>
  <c r="C16" i="9"/>
  <c r="C10" i="9"/>
  <c r="C11" i="8"/>
  <c r="C13" i="8"/>
  <c r="C15" i="8"/>
  <c r="C16" i="8"/>
  <c r="C10" i="8"/>
  <c r="E11" i="8"/>
  <c r="E12" i="8"/>
  <c r="E13" i="8"/>
  <c r="E14" i="8"/>
  <c r="E15" i="8"/>
  <c r="E16" i="8"/>
  <c r="E10" i="8"/>
  <c r="E11" i="7"/>
  <c r="E12" i="7"/>
  <c r="E13" i="7"/>
  <c r="E14" i="7"/>
  <c r="E15" i="7"/>
  <c r="E16" i="7"/>
  <c r="E10" i="7"/>
  <c r="C11" i="7"/>
  <c r="C13" i="7"/>
  <c r="C15" i="7"/>
  <c r="C16" i="7"/>
  <c r="C10" i="7"/>
  <c r="C11" i="6"/>
  <c r="C13" i="6"/>
  <c r="C15" i="6"/>
  <c r="C16" i="6"/>
  <c r="C10" i="6"/>
  <c r="E11" i="6"/>
  <c r="E12" i="6"/>
  <c r="E13" i="6"/>
  <c r="E14" i="6"/>
  <c r="E15" i="6"/>
  <c r="E16" i="6"/>
  <c r="E17" i="6"/>
  <c r="E10" i="6"/>
  <c r="E11" i="5"/>
  <c r="E12" i="5"/>
  <c r="E13" i="5"/>
  <c r="E14" i="5"/>
  <c r="E15" i="5"/>
  <c r="E16" i="5"/>
  <c r="E10" i="5"/>
  <c r="E11" i="4"/>
  <c r="E12" i="4"/>
  <c r="E13" i="4"/>
  <c r="E14" i="4"/>
  <c r="E10" i="4"/>
  <c r="C14" i="4"/>
  <c r="C11" i="4"/>
  <c r="C13" i="4"/>
  <c r="C10" i="4"/>
  <c r="B2" i="4" l="1"/>
  <c r="B3" i="4" s="1"/>
  <c r="B4" i="4" l="1"/>
  <c r="B5" i="4"/>
  <c r="E13" i="2" l="1"/>
  <c r="C10" i="2" l="1"/>
  <c r="B2" i="47" l="1"/>
  <c r="B4" i="47" s="1"/>
  <c r="B2" i="46"/>
  <c r="B5" i="46" s="1"/>
  <c r="B2" i="45"/>
  <c r="B4" i="45" s="1"/>
  <c r="B2" i="44"/>
  <c r="B4" i="44" s="1"/>
  <c r="B2" i="43"/>
  <c r="B5" i="43" s="1"/>
  <c r="B2" i="42"/>
  <c r="B4" i="42" s="1"/>
  <c r="B2" i="41"/>
  <c r="B4" i="41" s="1"/>
  <c r="B2" i="40"/>
  <c r="B4" i="40" s="1"/>
  <c r="B2" i="39"/>
  <c r="B4" i="39" s="1"/>
  <c r="B2" i="38"/>
  <c r="B4" i="38" s="1"/>
  <c r="B2" i="37"/>
  <c r="B4" i="37" s="1"/>
  <c r="B2" i="36"/>
  <c r="B5" i="36" s="1"/>
  <c r="B5" i="47" l="1"/>
  <c r="B3" i="47"/>
  <c r="B3" i="46"/>
  <c r="B4" i="46"/>
  <c r="B5" i="45"/>
  <c r="B3" i="45"/>
  <c r="B5" i="44"/>
  <c r="B3" i="44"/>
  <c r="B3" i="43"/>
  <c r="B4" i="43"/>
  <c r="B5" i="42"/>
  <c r="B3" i="42"/>
  <c r="B5" i="41"/>
  <c r="B3" i="41"/>
  <c r="B5" i="40"/>
  <c r="B5" i="39"/>
  <c r="B3" i="40"/>
  <c r="B5" i="38"/>
  <c r="B3" i="39"/>
  <c r="B3" i="38"/>
  <c r="B5" i="37"/>
  <c r="B3" i="37"/>
  <c r="B3" i="36"/>
  <c r="B4" i="36"/>
  <c r="B2" i="35"/>
  <c r="B5" i="35" s="1"/>
  <c r="B2" i="34"/>
  <c r="B5" i="34" s="1"/>
  <c r="B2" i="33"/>
  <c r="B3" i="33" s="1"/>
  <c r="B3" i="35" l="1"/>
  <c r="B4" i="35"/>
  <c r="B3" i="34"/>
  <c r="B4" i="34"/>
  <c r="B4" i="33"/>
  <c r="B5" i="33"/>
  <c r="B2" i="32"/>
  <c r="B5" i="32" s="1"/>
  <c r="B2" i="31"/>
  <c r="B3" i="31" s="1"/>
  <c r="B2" i="30"/>
  <c r="B4" i="30" s="1"/>
  <c r="B2" i="29"/>
  <c r="B5" i="29" s="1"/>
  <c r="B2" i="10"/>
  <c r="B4" i="10" s="1"/>
  <c r="B2" i="28"/>
  <c r="B3" i="28" s="1"/>
  <c r="B2" i="27"/>
  <c r="B4" i="27" s="1"/>
  <c r="B2" i="26"/>
  <c r="B5" i="26" s="1"/>
  <c r="B2" i="25"/>
  <c r="B4" i="25" s="1"/>
  <c r="B2" i="24"/>
  <c r="B4" i="24" s="1"/>
  <c r="B2" i="23"/>
  <c r="B5" i="23" s="1"/>
  <c r="B2" i="22"/>
  <c r="B4" i="22" s="1"/>
  <c r="B2" i="21"/>
  <c r="B4" i="21" s="1"/>
  <c r="B2" i="20"/>
  <c r="B4" i="20" s="1"/>
  <c r="B2" i="19"/>
  <c r="B2" i="18"/>
  <c r="B5" i="18" s="1"/>
  <c r="B2" i="16"/>
  <c r="B5" i="16" s="1"/>
  <c r="B2" i="15"/>
  <c r="B3" i="15" s="1"/>
  <c r="B2" i="14"/>
  <c r="B3" i="14" s="1"/>
  <c r="B2" i="13"/>
  <c r="B3" i="13" s="1"/>
  <c r="B2" i="12"/>
  <c r="B5" i="12" s="1"/>
  <c r="B2" i="11"/>
  <c r="B3" i="11" s="1"/>
  <c r="B4" i="19" l="1"/>
  <c r="B5" i="19"/>
  <c r="B3" i="32"/>
  <c r="B4" i="32"/>
  <c r="B4" i="31"/>
  <c r="B5" i="31"/>
  <c r="B5" i="30"/>
  <c r="B3" i="30"/>
  <c r="B3" i="29"/>
  <c r="B4" i="29"/>
  <c r="B3" i="10"/>
  <c r="B5" i="10"/>
  <c r="B4" i="28"/>
  <c r="B5" i="28"/>
  <c r="B3" i="27"/>
  <c r="B5" i="27"/>
  <c r="B3" i="26"/>
  <c r="B4" i="26"/>
  <c r="B5" i="25"/>
  <c r="B3" i="25"/>
  <c r="B3" i="23"/>
  <c r="B3" i="24"/>
  <c r="B4" i="23"/>
  <c r="B5" i="24"/>
  <c r="B5" i="22"/>
  <c r="B3" i="22"/>
  <c r="B5" i="21"/>
  <c r="B3" i="21"/>
  <c r="B5" i="20"/>
  <c r="B3" i="20"/>
  <c r="B3" i="19"/>
  <c r="B4" i="18"/>
  <c r="B3" i="18"/>
  <c r="B3" i="16"/>
  <c r="B4" i="16"/>
  <c r="B4" i="15"/>
  <c r="B5" i="15"/>
  <c r="B5" i="14"/>
  <c r="B4" i="14"/>
  <c r="B4" i="13"/>
  <c r="B5" i="13"/>
  <c r="B3" i="12"/>
  <c r="B4" i="12"/>
  <c r="B4" i="11"/>
  <c r="B5" i="11"/>
  <c r="B2" i="9"/>
  <c r="B3" i="9" s="1"/>
  <c r="B2" i="8"/>
  <c r="B3" i="8" s="1"/>
  <c r="B2" i="7"/>
  <c r="B3" i="7" s="1"/>
  <c r="E12" i="2"/>
  <c r="E11" i="2"/>
  <c r="E10" i="2"/>
  <c r="B2" i="17"/>
  <c r="B3" i="17" s="1"/>
  <c r="B2" i="6"/>
  <c r="B4" i="6" s="1"/>
  <c r="B2" i="5"/>
  <c r="B5" i="5" s="1"/>
  <c r="B4" i="8" l="1"/>
  <c r="B4" i="9"/>
  <c r="B5" i="9"/>
  <c r="B5" i="8"/>
  <c r="B5" i="7"/>
  <c r="B4" i="7"/>
  <c r="B4" i="17"/>
  <c r="B5" i="17"/>
  <c r="B5" i="6"/>
  <c r="B3" i="6"/>
  <c r="B3" i="5"/>
  <c r="B4" i="5"/>
  <c r="B2" i="101"/>
  <c r="B5" i="101" s="1"/>
  <c r="B2" i="100"/>
  <c r="B3" i="100" s="1"/>
  <c r="B2" i="99"/>
  <c r="B3" i="99" s="1"/>
  <c r="B2" i="98"/>
  <c r="B4" i="98" s="1"/>
  <c r="B2" i="97"/>
  <c r="B3" i="97" s="1"/>
  <c r="B2" i="96"/>
  <c r="B3" i="96" s="1"/>
  <c r="B2" i="95"/>
  <c r="B5" i="95" s="1"/>
  <c r="B2" i="94"/>
  <c r="B5" i="94" s="1"/>
  <c r="B2" i="93"/>
  <c r="B3" i="93" s="1"/>
  <c r="B2" i="92"/>
  <c r="B5" i="92" s="1"/>
  <c r="B2" i="91"/>
  <c r="B5" i="91" s="1"/>
  <c r="B2" i="90"/>
  <c r="B3" i="90" s="1"/>
  <c r="B2" i="89"/>
  <c r="B4" i="89" s="1"/>
  <c r="B2" i="2"/>
  <c r="B5" i="2" s="1"/>
  <c r="B2" i="88"/>
  <c r="B5" i="88" s="1"/>
  <c r="B2" i="87"/>
  <c r="B5" i="87" s="1"/>
  <c r="B2" i="86"/>
  <c r="B4" i="86" s="1"/>
  <c r="B2" i="85"/>
  <c r="B5" i="85" s="1"/>
  <c r="B2" i="84"/>
  <c r="B4" i="84" s="1"/>
  <c r="B2" i="83"/>
  <c r="B5" i="83" s="1"/>
  <c r="B2" i="82"/>
  <c r="B5" i="82" s="1"/>
  <c r="B2" i="81"/>
  <c r="B5" i="81" s="1"/>
  <c r="B4" i="100" l="1"/>
  <c r="B5" i="100"/>
  <c r="B3" i="101"/>
  <c r="B4" i="101"/>
  <c r="B4" i="99"/>
  <c r="B5" i="99"/>
  <c r="B5" i="98"/>
  <c r="B3" i="98"/>
  <c r="B4" i="97"/>
  <c r="B5" i="97"/>
  <c r="B4" i="96"/>
  <c r="B5" i="96"/>
  <c r="B4" i="95"/>
  <c r="B3" i="95"/>
  <c r="B3" i="94"/>
  <c r="B4" i="94"/>
  <c r="B5" i="93"/>
  <c r="B4" i="93"/>
  <c r="B3" i="92"/>
  <c r="B4" i="92"/>
  <c r="B3" i="91"/>
  <c r="B4" i="91"/>
  <c r="B4" i="90"/>
  <c r="B5" i="90"/>
  <c r="B3" i="89"/>
  <c r="B5" i="89"/>
  <c r="B3" i="2"/>
  <c r="B4" i="2"/>
  <c r="B3" i="88"/>
  <c r="B4" i="88"/>
  <c r="B3" i="87"/>
  <c r="B4" i="87"/>
  <c r="B5" i="86"/>
  <c r="B3" i="86"/>
  <c r="B3" i="85"/>
  <c r="B4" i="85"/>
  <c r="B5" i="84"/>
  <c r="B3" i="84"/>
  <c r="B3" i="83"/>
  <c r="B4" i="83"/>
  <c r="B3" i="82"/>
  <c r="B4" i="82"/>
  <c r="B3" i="81"/>
  <c r="B4" i="81"/>
</calcChain>
</file>

<file path=xl/sharedStrings.xml><?xml version="1.0" encoding="utf-8"?>
<sst xmlns="http://schemas.openxmlformats.org/spreadsheetml/2006/main" count="9228" uniqueCount="638">
  <si>
    <t xml:space="preserve"> </t>
  </si>
  <si>
    <t>#</t>
  </si>
  <si>
    <t>Title</t>
  </si>
  <si>
    <t>Status</t>
  </si>
  <si>
    <t>Return to Test Case Overview</t>
  </si>
  <si>
    <t>Test Case ID</t>
  </si>
  <si>
    <t>Test Case</t>
  </si>
  <si>
    <t>Step</t>
  </si>
  <si>
    <t>Action</t>
  </si>
  <si>
    <t>Message | Input</t>
  </si>
  <si>
    <t>Notes &amp; Data Settings</t>
  </si>
  <si>
    <t>[RECORD CALL ID  HERE]</t>
  </si>
  <si>
    <t>NOTHING</t>
  </si>
  <si>
    <t>HANGUP</t>
  </si>
  <si>
    <t>PEG</t>
  </si>
  <si>
    <t>PEG #</t>
  </si>
  <si>
    <t>PROMPT PHRASE</t>
  </si>
  <si>
    <t xml:space="preserve">APPLICATION </t>
  </si>
  <si>
    <t>Test Data #</t>
  </si>
  <si>
    <t>TEST DATA #</t>
  </si>
  <si>
    <t>Test Data Description</t>
  </si>
  <si>
    <t>Description</t>
  </si>
  <si>
    <t>Additional Notes</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</si>
  <si>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</si>
  <si>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</si>
  <si>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</si>
  <si>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</si>
  <si>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</si>
  <si>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</si>
  <si>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</si>
  <si>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</si>
  <si>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</si>
  <si>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</si>
  <si>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</si>
  <si>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</si>
  <si>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</si>
  <si>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</si>
  <si>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</si>
  <si>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</si>
  <si>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</si>
  <si>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</si>
  <si>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</si>
  <si>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</si>
  <si>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</si>
  <si>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</si>
  <si>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</si>
  <si>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TC33</t>
  </si>
  <si>
    <t>TC34</t>
  </si>
  <si>
    <t>TC35</t>
  </si>
  <si>
    <t>TC36</t>
  </si>
  <si>
    <t>TC37</t>
  </si>
  <si>
    <t>TC38</t>
  </si>
  <si>
    <t>TC39</t>
  </si>
  <si>
    <t>TC40</t>
  </si>
  <si>
    <t>TC41</t>
  </si>
  <si>
    <t>TC42</t>
  </si>
  <si>
    <t>TC43</t>
  </si>
  <si>
    <t>TC44</t>
  </si>
  <si>
    <t>TC45</t>
  </si>
  <si>
    <t>TC46</t>
  </si>
  <si>
    <t>TC47</t>
  </si>
  <si>
    <t>TC48</t>
  </si>
  <si>
    <t>TC49</t>
  </si>
  <si>
    <t>TC50</t>
  </si>
  <si>
    <t>TC51</t>
  </si>
  <si>
    <t>TC52</t>
  </si>
  <si>
    <t>TC53</t>
  </si>
  <si>
    <t>TC54</t>
  </si>
  <si>
    <t>TC55</t>
  </si>
  <si>
    <t>TC56</t>
  </si>
  <si>
    <t>TC57</t>
  </si>
  <si>
    <t>TC58</t>
  </si>
  <si>
    <t>TC59</t>
  </si>
  <si>
    <t>TC60</t>
  </si>
  <si>
    <t>TC61</t>
  </si>
  <si>
    <t>TC62</t>
  </si>
  <si>
    <t>TC63</t>
  </si>
  <si>
    <t>TC64</t>
  </si>
  <si>
    <t>TC65</t>
  </si>
  <si>
    <t>TC66</t>
  </si>
  <si>
    <t>TC67</t>
  </si>
  <si>
    <t>TC68</t>
  </si>
  <si>
    <t>TC69</t>
  </si>
  <si>
    <t>TC70</t>
  </si>
  <si>
    <t>TC71</t>
  </si>
  <si>
    <t>TC72</t>
  </si>
  <si>
    <t>TC73</t>
  </si>
  <si>
    <t>TC74</t>
  </si>
  <si>
    <t>TC75</t>
  </si>
  <si>
    <t>TC76</t>
  </si>
  <si>
    <t>TC77</t>
  </si>
  <si>
    <t>TC1</t>
  </si>
  <si>
    <t>TC2</t>
  </si>
  <si>
    <t>TC3</t>
  </si>
  <si>
    <t>TC4</t>
  </si>
  <si>
    <t>TC5</t>
  </si>
  <si>
    <t>TC6</t>
  </si>
  <si>
    <t>TC7</t>
  </si>
  <si>
    <t>TC8</t>
  </si>
  <si>
    <t>TC9</t>
  </si>
  <si>
    <t>TC78</t>
  </si>
  <si>
    <t>TC79</t>
  </si>
  <si>
    <t>TC80</t>
  </si>
  <si>
    <t>TC81</t>
  </si>
  <si>
    <t>TC82</t>
  </si>
  <si>
    <t>TC83</t>
  </si>
  <si>
    <t>TC84</t>
  </si>
  <si>
    <t>TC85</t>
  </si>
  <si>
    <t>TC86</t>
  </si>
  <si>
    <t>TC87</t>
  </si>
  <si>
    <t>TC88</t>
  </si>
  <si>
    <t>TC89</t>
  </si>
  <si>
    <t>TC90</t>
  </si>
  <si>
    <t>TC91</t>
  </si>
  <si>
    <t>DIAL</t>
  </si>
  <si>
    <t>HEAR</t>
  </si>
  <si>
    <t>TC92</t>
  </si>
  <si>
    <t>TC93</t>
  </si>
  <si>
    <t>TC94</t>
  </si>
  <si>
    <t>TC95</t>
  </si>
  <si>
    <t>TC96</t>
  </si>
  <si>
    <t>TC97</t>
  </si>
  <si>
    <t>TC98</t>
  </si>
  <si>
    <t>TC99</t>
  </si>
  <si>
    <t>SPEAK</t>
  </si>
  <si>
    <t>TEST DID NUMBER</t>
  </si>
  <si>
    <t>TYPE</t>
  </si>
  <si>
    <t># from from data request</t>
  </si>
  <si>
    <t>general description or data requirements</t>
  </si>
  <si>
    <t>[Client Logo]</t>
  </si>
  <si>
    <t>Wyndham Destinations Testing Outline</t>
  </si>
  <si>
    <t>IVR System Test Cycle</t>
  </si>
  <si>
    <t>CallStart Main Menu Reservations to Xfer</t>
  </si>
  <si>
    <t>CallStart Main Menu More options Rewards to Xfer</t>
  </si>
  <si>
    <t>CallStart Main Menu More options Points to Xfer</t>
  </si>
  <si>
    <t>CallStart Main Menu More options Interval to Xfer</t>
  </si>
  <si>
    <t>CallStart Main Menu More options Rep to Xfer</t>
  </si>
  <si>
    <t>CallStart Main Menu /Title /Rep to Xfer</t>
  </si>
  <si>
    <t>Coll Inbd Xfer to Spanish</t>
  </si>
  <si>
    <t>svcArea=titleSvcs, serviceType=somethingElse</t>
  </si>
  <si>
    <t>svcArea=titleSvcs, serviceType=makePayment</t>
  </si>
  <si>
    <t>CallStart Main Menu /Title /CheckStatus/ID Auth=True/ Xfer</t>
  </si>
  <si>
    <t>svcArea=titleSvcs, serviceType=checkStatus, Completed=No, OFS02 change in process</t>
  </si>
  <si>
    <t>CallStart Main Menu /Title /CheckStatus/ID Auth=True/ Rep Xfer</t>
  </si>
  <si>
    <t>svcArea=titleSvcs, serviceType=checkStatus, Completed=Yes,&gt; 15 days ago,  OFS02 change completed</t>
  </si>
  <si>
    <t>CallStart Main Menu /Title /CheckStatus/ID Auth=True/ No Letter Xfer</t>
  </si>
  <si>
    <t>CallStart Main Menu /Title /CheckStatus/ID Auth=True/ Yes Letter/OFSO4 fails Xfer</t>
  </si>
  <si>
    <t xml:space="preserve">svcArea=titleSvcs, serviceType=checkStatus, Completed=Yes,&gt; 15 days ago,  OFS02 change completed, need OFS04 fail </t>
  </si>
  <si>
    <t>CallStart Main Menu /Payments /more options/Rep</t>
  </si>
  <si>
    <t>CallStart Main Menu /Payments /more options/Perks</t>
  </si>
  <si>
    <t>svcArea=finSvcs, ServiceType=make Payment, SvcArea not Collections</t>
  </si>
  <si>
    <t>Coll Inbd/ /ID Auth/ID Auth True, Xfer</t>
  </si>
  <si>
    <t>Coll Inbd/ /ID Auth/ID Auth Not True, Xfer</t>
  </si>
  <si>
    <t>SvcArea =Collections, OFS05 returns else (not success) this may be Call Start - not sure which to get 0FS05 to return "else"</t>
  </si>
  <si>
    <t>CallStart Main Menu/Payments/Make Pmt /ID Auth/ID Auth True, Finance exception code=Bankruptcy/Xfer</t>
  </si>
  <si>
    <t>CallStart Main Menu/Payments/Make Pmt /ID Auth/ID Auth True, Finance exception code=Settlements/Xfer</t>
  </si>
  <si>
    <t>FE Code=Bankruptcy</t>
  </si>
  <si>
    <t>FE Code=Settlements</t>
  </si>
  <si>
    <t>CallStart Main Menu/Payments/Make Pmt /ID Auth/ID Auth True, Finance exception code=No Self Serve/Xfer</t>
  </si>
  <si>
    <t>FE Code=No Self Serve</t>
  </si>
  <si>
    <t>Autopay not active</t>
  </si>
  <si>
    <t>Autopay active</t>
  </si>
  <si>
    <t>More than 3 contracts</t>
  </si>
  <si>
    <t>3 or less contracts, Autopay active, has current amt due</t>
  </si>
  <si>
    <t>CallStart Main Menu/Title/check status/ serviceType=check Status/ID Auth/ID Auth True,Finance Exception code=else/Say yes, to make a payment today/Xfer</t>
  </si>
  <si>
    <t>serviceType=RequestDocs, 1098 msg not active, cancellation ltr status Cancelled=No</t>
  </si>
  <si>
    <t>CallStart Main Menu/Pmts and Statements/request doc/ serviceType=requestDocs/ID Auth/ID Auth True,Finance Exception code=else/Say cancellation letter/Xfer</t>
  </si>
  <si>
    <t>serviceType=RequestDocs, 1098 msg not active, cancellation ltr status Cancelled=Yes, Say NO to send ltr to address on file.</t>
  </si>
  <si>
    <t>serviceType=RequestDocs, 1098 msg not active, cancellation ltr status Cancelled=Yes, Say YES to send ltr to address on file. OFS07 fails (based on transaction code)</t>
  </si>
  <si>
    <t>CallStart Main Menu/Pmts and Statements/request doc/ serviceType=requestDocs/ID Auth/ID Auth True,Finance Exception code=else/Statement/ annual/Xfer</t>
  </si>
  <si>
    <t>CallStart Main Menu/Pmts and Statements/request doc/ serviceType=requestDocs/ID Auth/ID Auth True,Finance Exception code=else/Statement/ else/Xfer</t>
  </si>
  <si>
    <t>serviceType=RequestDocs, 1098 msg not active, Statement/else (not annual or monthly) OFS07 fails (based on transaction code)</t>
  </si>
  <si>
    <t>CallStart Main Menu/Pmts and Statements/request doc/ serviceType=requestDocs/ID Auth/ID Auth True,Finance Exception code=else/Payoff/ else/Xfer</t>
  </si>
  <si>
    <t>serviceType=RequestDocs, 1098 msg not active, PO/yes OFS07 fails (based on transaction code)</t>
  </si>
  <si>
    <t xml:space="preserve">serviceType=RequestDocs, 1098 msg not active, PO/else (not yes) </t>
  </si>
  <si>
    <t xml:space="preserve">serviceType=RequestDocs, 1098 msg not active, Statement/annual </t>
  </si>
  <si>
    <t>CallStart Main Menu/Pmts and Statements/request doc/ serviceType=requestDocs/ID Auth/ID Auth True,Finance Exception code=else/Tax Docs/ else/Xfer</t>
  </si>
  <si>
    <t>CallStart Main Menu/Pmts and Statements/request doc/ serviceType=requestDocs/ID Auth/ID Auth True,Finance Exception code=else/Tax Docs/ yes/Xfer</t>
  </si>
  <si>
    <t xml:space="preserve">serviceType=RequestDocs, 1098 msg not active, Tax Docs/else (not yes) </t>
  </si>
  <si>
    <t>serviceType=RequestDocs, 1098 msg not active, Tax Docs/yes OFS07 fails (based on transaction code)</t>
  </si>
  <si>
    <t>SvcArea =Collections, OFS05 returns success this may be Call Start - not sure which to get 0FS05 to return "success". Past Due &gt;x=Yes</t>
  </si>
  <si>
    <t>SvcArea =Collections, OFS05 returns success this may be Call Start - not sure which to get 0FS05 to return "success". Past Due=Yes DPD&gt;x=No, Says yes to mk pmt in full today.</t>
  </si>
  <si>
    <t>Coll Inbd/ /ID Auth/ID Auth True, Say Yes to Make Pmt in full today. Xfer</t>
  </si>
  <si>
    <t>Coll Inbd/ /ID Auth/ID Auth True, Say NO to Make Pmt in full today. Xfer</t>
  </si>
  <si>
    <t>SvcArea =Collections, OFS05 returns success this may be Call Start - not sure which to get 0FS05 to return "success". Past Due=Yes DPD&gt;x=No, Says NO to mk pmt in full today.</t>
  </si>
  <si>
    <t>Coll Inbd/ /ID Auth/ID Auth True, Say REP to Make Pmt in full today. Xfer</t>
  </si>
  <si>
    <t>SvcArea =Collections, OFS05 returns success this may be Call Start - not sure which to get 0FS05 to return "success". Past Due=Yes DPD&gt;x=No, Says REP to mk pmt in full today.</t>
  </si>
  <si>
    <t>Wrap Menu/MM: CallStart Main Menu /Title /CheckStatus/ID Auth=True/Yes to copy of conf ltr/Say MainMenu to anything else today/hear MM</t>
  </si>
  <si>
    <t>Wrap Menu/Bye:CallStart Main Menu /Title /CheckStatus/ID Auth=True/Yes to copy of conf ltr/Say no to anything else today/ Hear BYE msg</t>
  </si>
  <si>
    <t>Wrap Menu2/Bye:CallStart Main Menu/Title/check status/ serviceType=check Status/ID Auth/ID Auth True,Finance Exception code=else/Say No, to make a payment today/Say No to anything else today/ Hear BYE msg</t>
  </si>
  <si>
    <t>MENU PROMPT</t>
  </si>
  <si>
    <t>0110-1.wav Which would you like? You can say... reservations, payments &amp; statements, title &amp; ownership changes, or more options.</t>
  </si>
  <si>
    <t>0120-1.wav You can say... Wyndham rewards, points conversion, personal interval choice, or speak to a representative.</t>
  </si>
  <si>
    <t>0130.wav Thank you for calling &lt;brand&gt;... [To continue in Spanish, press 9]</t>
  </si>
  <si>
    <t>0200-1.wav To get started, what is your account number?</t>
  </si>
  <si>
    <t>OFS01</t>
  </si>
  <si>
    <t>OFS01_LookupMemberContract: inputs: MemberNumber or ContractNumber outputs: DOB, {ContractDetails}, {DuesBalance}, {ExceptionCodes}</t>
  </si>
  <si>
    <t>WEB SERVICE</t>
  </si>
  <si>
    <t>PLAY PROMPT</t>
  </si>
  <si>
    <t>0210-1.wav And the date of birth for the primary owner?</t>
  </si>
  <si>
    <t>0220.wav I couldn't find an account matching the information you provided. Let's try one more time. What is your account number?</t>
  </si>
  <si>
    <t>0300-1.wav You can say ownership changes, check status, make a payment, or help me with something else. Which would you like?</t>
  </si>
  <si>
    <t>OFS02</t>
  </si>
  <si>
    <t xml:space="preserve">OFS02_LookupContractDisposition  Check disposition codes (OFSLL) to identify if ownership change in progress </t>
  </si>
  <si>
    <t>OFS03</t>
  </si>
  <si>
    <t>OFS03_GetPropertyType (deeded or non-deeded)</t>
  </si>
  <si>
    <t>0315.wav Your request to transfer ownership has been processed. A confirmation letter is being mailed to the address on file, and should arrive in the next 10 business days.</t>
  </si>
  <si>
    <t>OFS04</t>
  </si>
  <si>
    <t>OFS04_CreateCallActivity Create Request For Instructional Letter</t>
  </si>
  <si>
    <t>techDiff</t>
  </si>
  <si>
    <t>techDiff.wav I'm having trouble.</t>
  </si>
  <si>
    <t>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t>
  </si>
  <si>
    <t>0325-S-ND-A.wav</t>
  </si>
  <si>
    <t>Wyndham requires a $75 processing fee per account to update ownership. You can   self-service by logging into your online account.  You may also send a   written request with each of the new owner's, first and last name, address,   phone number, email address, date of birth, and copy of government issued ID.   Please send the information to 6277 Sea Harbor Drive, Orlando Florida 32821,   attention, Shell Member Transfers. Once the information and fee is received,   Wyndham will send transfer paperwork to be signed in front of a notary and   returned.</t>
  </si>
  <si>
    <t>0325-S-DD-A.wav</t>
  </si>
  <si>
    <t>Wyndham requires a $100 processing fee per account to update ownership and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Shell Member Transfers.</t>
  </si>
  <si>
    <t>Wyndham requires a copy of the court documents such as a marriage certificate or divorce decree to be submitted along with a government issued ID showing your name change. Please send the information to 6277 Sea Harbor Drive, Orlando Florida 32821, attention, Shell Member Transfers or via email to shellmembertransfers@wyn.com.</t>
  </si>
  <si>
    <t>Wyndham requires a new recorded deed from the county where you own the property showing the name change. We recommend that you use a licensed professional to execute the document. In addition, a copy of the court documents such as a marriage certificate or divorce decree to be submitted along with a government issued ID showing your name change. Please send the information to 6277 Sea Harbor Drive, Orlando Florida 32821, attention, Shell Member Transfers or via email to shellmembertransfers@wyn.com.</t>
  </si>
  <si>
    <t>0325-S-ND-E.wav</t>
  </si>
  <si>
    <t>0325-S-DD-E.wav</t>
  </si>
  <si>
    <t>0325-S-ND-R.wav</t>
  </si>
  <si>
    <t>Wyndham requires a $75 processing fee per account to update ownership. You can self- service by logging into your online account. You may also send a written request with the name of the owner being removed. Wyndham will send removal paperwork to be signed in front of a notary and returned. In the event of a divorce, Wyndham will not require a fee but will require supporting documentation to be mailed to 6277 Sea Harbor Drive, Orlando Florida 32821, attention, Shell Member Transfers.</t>
  </si>
  <si>
    <t>0325-S-DD-R.wav</t>
  </si>
  <si>
    <t>Wyndham requires $100 processing fee per account to update ownership and a new recorded deed from the county where you own the property. We recommend that you use a licensed professional to execute the document. Please send the information to 6277 Sea Harbor Drive, Orlando Florida 32821, attention, Shell Member Transfers.</t>
  </si>
  <si>
    <t>0325-S-ND-T.wav</t>
  </si>
  <si>
    <t>Wyndham requires a $75 processing fee per account to update ownership. You can self-service by logging into your online account. You may also send a written request with each of the Trustee’s or company representative, first and last name, address, phone number, email address, date of birth, and copy of government issued ID. In addition, please include a copy of your trust documents or corporate documents and current certificate of good standing. Please send the information to 6277 Sea Harbor Drive, Orlando Florida 32821, attention, Shell Member Transfers. Once the information and fee is received, Wyndham will send transfer paperwork to be signed in front of a notary and returned.</t>
  </si>
  <si>
    <t>0325-S-DD-T.wav</t>
  </si>
  <si>
    <t>Wyndham requires a $100 processing fee per account to update ownership and a new recorded deed from the county where you own the property. We recommend that you use a licensed professional to execute the document. In addition to the new recorded deed, please send with the Trustee’s or company representative, first and last name, address, phone number, email address, date of birth, copy of government issued ID along with a copy of your trust documents or corporate documents and current certificate of good standing. Please send the information to 6277 Sea Harbor Drive, Orlando Florida 32821, attention, Shell Member Transfers.</t>
  </si>
  <si>
    <t>0325-S-ND-X.wav</t>
  </si>
  <si>
    <t>Wyndham requires a $75 processing fee per account to update ownership. You can self-service by logging into your online account. You may also send a written request with each of the new owner's, first and last name, address, phone number, email address, date of birth, and copy of government issued ID. Please send the information to 6277 Sea Harbor Drive, Orlando Florida 32821, attention, Shell Member Transfers. Once the information and fee is received, Wyndham will send transfer paperwork to be signed in front of a notary and returned.</t>
  </si>
  <si>
    <t>0325-S-DD-X.wav</t>
  </si>
  <si>
    <t>0325-V-ND-A.wav</t>
  </si>
  <si>
    <t>Wyndham requires a $299 processing fee to update ownership. In addition, a written request with each of the new owner's, first and last name, address, phone number, email address, date of birth, and copy of government issued ID must be submitted. Please send the information to 6277 Sea Harbor Drive, Orlando, Florida 32821, attention, Ownership Change. Once the information and fee is received, Wyndham will send transfer or add paperwork to be signed in front of a notary and returned.</t>
  </si>
  <si>
    <t>0325-V-DD-A.wav</t>
  </si>
  <si>
    <t>Wyndham requires a $299 processing fee to update ownership and a new recorded deed from the county where you own the property. We recommend that you use a licensed professional to execute the document. In addition to the new recorded deed, please send the new owner's, first and last name, address, phone number, email address, date of birth, along with a copy of their government issued ID. Please send the information to 6277 Sea Harbor Drive, Orlando Florida 32821, attention, Ownership Change.</t>
  </si>
  <si>
    <t>0325-V-DF-A.wav</t>
  </si>
  <si>
    <t>Wyndham requires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Ownership Change.</t>
  </si>
  <si>
    <t>0325-V-ND-E.wav</t>
  </si>
  <si>
    <t>Wyndham requires a $299 processing fee to update ownership, in addition, a written request with the name of the owner being removed must be submitted. Please send the information to 6277 Sea Harbor Drive, Orlando Florida 32821, attention, Ownership Change. Once the information and fee is received, Wyndham will send removal paperwork to be signed in front of a notary and returned. In the event of a divorce, Wyndham will not require a fee but will require supporting documentation to be mailed to the same address.</t>
  </si>
  <si>
    <t>0325-V-DD-E.wav</t>
  </si>
  <si>
    <t>Wyndham requires a $299 processing fee to update ownership and a new recorded deed from the county where you own the property. We recommend that you use a licensed professional to execute the document. Please send the information to 6277 Sea Harbor Drive, Orlando Florida 32821, attention, Ownership Change.</t>
  </si>
  <si>
    <t>Wyndham requires a $299 processing fee to update ownership and a new recorded deed   from the county where you own the property. We recommend that you use a   licensed professional to execute the document. Please send the information to   6277 Sea Harbor Drive, Orlando Florida 32821, attention, Ownership Change.</t>
  </si>
  <si>
    <t>0325-V-DF-E.wav</t>
  </si>
  <si>
    <t>Wyndham requires a new recorded deed from the county where you own the property. We recommend that you use a licensed professional to execute the document . Please send the copy of the new deed to 6277 Sea Harbor Drive, Orlando Florida 32821, attention, Ownership Change or via email to ownershipchange@wyn.com.</t>
  </si>
  <si>
    <t>0325-V-ND-R.wav</t>
  </si>
  <si>
    <t>0325-V-DD-R.wav</t>
  </si>
  <si>
    <t>0325-V-DF-R.wav</t>
  </si>
  <si>
    <t>0325-V-ND-T.wav</t>
  </si>
  <si>
    <t>Wyndham requires a $299 processing fee to update ownership, in addition, a written request with each of the Trustee’s or company representative, first and last name, address, phone number, email address, date of birth, and copy of government issued ID. Please send the information to 6277 Sea Harbor Drive, Orlando Florida 32821, attention, Worldmark Ownership Change. In addition, please send a copy of your trust documents or corporate documents and current certificate of good standing. Once the information and fee is received, Wyndham will send paperwork to reference the trust and company in the account to be signed in front of a notary and returned.</t>
  </si>
  <si>
    <t>0325-V-DD-T.wav</t>
  </si>
  <si>
    <t>0325-V-DF-T.wav</t>
  </si>
  <si>
    <t>Wyndham requires a new recorded deed from the county where you own the property. We recommend that you use a licensed professional to execute the document. In addition to the new recorded deed, please send with the new Trustee’s or company representative, first and last name, address, phone number, email address, date of birth, copy of government issued ID and a copy of your trust documents or corporate documents and current certificate of good standing. Please send the information to 6277 Sea Harbor Drive, Orlando Florida 32821, attention, Worldmark Ownership Change or via email to worldmarkownershipchange@wyn.com.</t>
  </si>
  <si>
    <t>0325-V-ND-X.wav</t>
  </si>
  <si>
    <t>0325-V-DD-X.wav</t>
  </si>
  <si>
    <t>0325-V-DF-X.wav</t>
  </si>
  <si>
    <t>0325-W-ND-A.wav</t>
  </si>
  <si>
    <t>Wyndham requires a $299 processing fee to update ownership. There is a maximum of two owners per account. In addition to the payment, a written request with each of the new owner's, first and last name, address, phone number, email address, date of birth, and copy of government issued ID must be submitted. Please send the information to 6277 Sea Harbor Drive, Orlando Florida 32821, attention, Worldmark Ownership Change. Once the information and fee is received, Wyndham will send transfer or add paperwork to be signed in front of a notary and returned.</t>
  </si>
  <si>
    <t>0325-W-DF-A.wav</t>
  </si>
  <si>
    <t>Wyndham requires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Worldmark Ownership Change.</t>
  </si>
  <si>
    <t>Wyndham requires a copy of the court documents such as a marriage certificate or divorce decree to be submitted along with a government issued ID showing your name change. Please send the information to 6277 Sea Harbor Drive, Orlando, Florida 32821, attention, Worldmark Ownership Change or via email to worldmarkownershipchange@wyn.com.</t>
  </si>
  <si>
    <t>0325-W-ND-E.wav</t>
  </si>
  <si>
    <t>0325-W-DF-E.wav</t>
  </si>
  <si>
    <t>Wyndham requires a new recorded deed from the county where you own the property showing the name change. We recommend that you use a licensed professional to execute the document. In addition to the deed, a copy of the court documents such as a marriage certificate or divorce decree to be submitted along with a government issued ID showing your name change must be submitted. Please send the information to 6277 Sea Harbor Drive, Orlando Florida 32821, attention, Worldmark Ownership Change or via email to worldmarkownershipchange@wyn.com .</t>
  </si>
  <si>
    <t>0325-W-ND-R.wav</t>
  </si>
  <si>
    <t>Wyndham requires a $299 processing fee to update ownership, in addition, a written request with the name of the owner being removed must be submitted. Please send the information to 6277 Sea Harbor Drive, Orlando Florida 32821, attention, Worldmark Ownership Change. Once the information and fee is received, Wyndham will send removal paperwork to be signed in front of a notary and returned. In the event of a divorce, Wyndham will not require a fee but will require supporting documentation to be mailed to the same address.</t>
  </si>
  <si>
    <t>0325-W-DF-R.wav</t>
  </si>
  <si>
    <t>Wyndham requires a new recorded deed from the county where you own the property. We recommend that you use a licensed professional to execute the document . Please send the information to 6277 Sea Harbor Drive, Orlando Florida 32821, attention, Worldmark Ownership Change or via email to worldmarkownershipchange@wyn.com.</t>
  </si>
  <si>
    <t>0325-W-ND-T.wav</t>
  </si>
  <si>
    <t>0325-W-DF-T.wav</t>
  </si>
  <si>
    <t>0325-W-ND-X.wav</t>
  </si>
  <si>
    <t>Wyndham requires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Worldmark Ownership Change.</t>
  </si>
  <si>
    <t>0325-W-DF-X.wav</t>
  </si>
  <si>
    <t>0330-1.wav To hear this information again, say repeat that. If you would like me to send you a letter with instructions to start the process, say information letter.</t>
  </si>
  <si>
    <t>400.wav You can say make a payment, check account status, request a document, or more options. Which would you like?</t>
  </si>
  <si>
    <t>405.wav You can say Perks by Club Wyndham, mailing address, wire transfer information, down payment questions, or speak to a representative. Which would you like?</t>
  </si>
  <si>
    <t xml:space="preserve">0416.wav Payments are only accepted in USD. Payments made in CAD must be made using a check or credit card. Payment must include $25.00 wire transfer fee. Beneficiary Bank: JP Morgan Chase Bank Beneficiary Name: SVC-West, LP Beneficiary Account: 689212223 Routing Number: 021000021 Swift Code: CHASCATT Address: 5401 N Pima Rd Ste 150, Scottsdale, AZ 85250 [repeats] </t>
  </si>
  <si>
    <t>OFS05</t>
  </si>
  <si>
    <t>OFS05_GetAccountDetail input: contractNumber or memberNumber output: balanceDetail, pastDue, autoPay, {addtionalData}</t>
  </si>
  <si>
    <t>Autopay.wav Many customers appreciate the convenience of our automatic payment service. To enroll... &lt;content TBD&gt;</t>
  </si>
  <si>
    <t>OFS06</t>
  </si>
  <si>
    <t>OFS06_GetAccountHistory OFSLL account balance(s) and transaction history by member</t>
  </si>
  <si>
    <t>0450-1.wav Your current amount due is [amount] which includes a loan payment of [amount] for contract number(s) [xxxxxxxxxx] and an assessment balance of [amount]. Would you like to make a payment today?</t>
  </si>
  <si>
    <t xml:space="preserve">0460.wav Your account is current, and no payment is due at this time. Your last payment of [amount] was received on [date]. </t>
  </si>
  <si>
    <t>OFS07</t>
  </si>
  <si>
    <t xml:space="preserve">0470.wav Which document would you like? You can say pay-off quote, statements, cancellation letter or tax documents. </t>
  </si>
  <si>
    <t>0475.wav Would you like me to send a copy of your cancellation letter to the address on file?</t>
  </si>
  <si>
    <t>OFS07_GenerateTransaction Send letter based on transaction code</t>
  </si>
  <si>
    <t>0480.wav I can send you a copy of your most recent annual statement, or a copy of your most recent monthly statement. Which one would you like, annual or monthly?</t>
  </si>
  <si>
    <t>0485.wav Your current payoff amount is [amount]. Would you like me to send you a payoff letter with this information?</t>
  </si>
  <si>
    <t xml:space="preserve">0490.wav Would you like me to send a copy of your most recent 1098 tax document to the address on file? </t>
  </si>
  <si>
    <t>0500.wav You have a past due balance of [amount]. Would you like to make that payment in full today?</t>
  </si>
  <si>
    <t>0900.wav Please hold, while I connect you to a customer service representative.</t>
  </si>
  <si>
    <t>0910.wav Thank you for calling Wyndham. Goodbye.</t>
  </si>
  <si>
    <t>0920.wav I've processed your request. Is there anything else I can help you with today? You can say main menu or simply hang up.</t>
  </si>
  <si>
    <t>0930.wav Is there anything else I can help you with today? You can say main menu or simply hang up.</t>
  </si>
  <si>
    <t>NOINPUTNOMATCH-1</t>
  </si>
  <si>
    <t>Sorry.</t>
  </si>
  <si>
    <t>NOINPUTNOMATCH-2</t>
  </si>
  <si>
    <t>Sorry, I'm having trouble</t>
  </si>
  <si>
    <t>CONFIRMATION</t>
  </si>
  <si>
    <t>gl_thatwas.wav That was ... 
    &lt;Response&gt;
gl_isthatright.wav …is that right?</t>
  </si>
  <si>
    <t>0110-2</t>
  </si>
  <si>
    <t xml:space="preserve">CallStart Main Menu /Title /CheckStatus/ID Auth=True/ Yes/ hear request processed/at wrap menu HU </t>
  </si>
  <si>
    <t>svcArea=titleSvcs, serviceType=chgOwnership, Completed=Yes, &lt;90 days, NOT&gt; 15 days ago</t>
  </si>
  <si>
    <t>CallStart Main Menu /Title /Ownership changes/ID Auth=True/ repeat/ Rep at ChangeMenu</t>
  </si>
  <si>
    <t>svcArea=titleSvcs, serviceType=chgOwnership, Not in progress or complete &lt;90days. Changetype=A add owner/325-S-ND-A.wav</t>
  </si>
  <si>
    <t>svcArea=titleSvcs, serviceType=chgOwnership, Not in progress or complete &lt;90days. 325-S-DD-A</t>
  </si>
  <si>
    <t>CallStart Main Menu /Title /Ownership changes/ID Auth=True/ add owner at ChangeMenu/hear prompt/say repeat that; send letter to start process/OSF04 returns else/ hear techDiff, xfer</t>
  </si>
  <si>
    <t>CallStart Main Menu /Title /Ownership changes/ID Auth=True/ remove owner at ChangeMenu/send ltr/success at OFS04/at wrap menu HU</t>
  </si>
  <si>
    <t>svcArea=titleSvcs, serviceType=chgOwnership, Not in progress or complete &lt;90days. 325-S-DD-E</t>
  </si>
  <si>
    <t>CallStart Main Menu /Title /Ownership changes/ID Auth=True/ change name at ChangeMenu/send ltr/HU at Wrap menu</t>
  </si>
  <si>
    <t>CallStart Main Menu /Title /Ownership changes/ID Auth=True/ transfer owner at ChangeMenu/send ltr/HU at Wrap menu</t>
  </si>
  <si>
    <t>CallStart Main Menu /Title /Ownership changes/ID Auth=True/ownership trust at ChangeMenu/send ltr/HU at Wrap Menu</t>
  </si>
  <si>
    <t>TC110</t>
  </si>
  <si>
    <t>WS01</t>
  </si>
  <si>
    <t>THIS IS A TEST</t>
  </si>
  <si>
    <t>Wyndham requires $299 processing fee and a new recorded deed from the county where you own the property. We recommend that you use a licensed professional to execute the document. In addition to the new recorded deed, please send with the new Trustee’s or company representative, first and last name, address, phone number, email address, date of birth, copy of government issued ID and a copy of your trust documents or corporate documents and current certificate of good standing. Please send the information to 6277 Sea Harbor Drive, Orlando Florida 32821, attention, Worldmark Ownership Change or via email to worldmarkownershipchange@wyn.com.</t>
  </si>
  <si>
    <t>Dynamic Prompt peg 0325</t>
  </si>
  <si>
    <t>svcArea=titleSvcs, serviceType=chgOwnership, Not in progress or complete &lt;90days. 325-S-ND-R</t>
  </si>
  <si>
    <t>svcArea=titleSvcs, serviceType=chgOwnership, Not in progress or complete &lt;90days. 325-S-ND-X</t>
  </si>
  <si>
    <t>svcArea=titleSvcs, serviceType=chgOwnership, Not in progress or complete &lt;90days. 325-S-ND-T</t>
  </si>
  <si>
    <t>TC100</t>
  </si>
  <si>
    <t>TC101</t>
  </si>
  <si>
    <t>TC102</t>
  </si>
  <si>
    <t>TC103</t>
  </si>
  <si>
    <t>TC104</t>
  </si>
  <si>
    <t>TC105</t>
  </si>
  <si>
    <t>TC106</t>
  </si>
  <si>
    <t>svcArea=titleSvcs, serviceType=chgOwner, Not in progress or complete &lt;90days. 325-S-ND-E</t>
  </si>
  <si>
    <t>svcArea=titleSvcs, serviceType=chgOwner, Not in progress or complete &lt;90days. 325-S-DD-R</t>
  </si>
  <si>
    <t>svcArea=titleSvcs, serviceType=chgOwner, Not in progress or complete &lt;90days. 325-S-DD-T</t>
  </si>
  <si>
    <t>svcArea=titleSvcs, serviceType=chgOwner, Not in progress or complete &lt;90days. 325-S-DD-X</t>
  </si>
  <si>
    <t>svcArea=titleSvcs, serviceType=chgOwner, Not in progress or complete &lt;90days. 325-V-ND-A</t>
  </si>
  <si>
    <t>svcArea=titleSvcs, serviceType=chgOwner, Not in progress or complete &lt;90days. 325-V-DD-A</t>
  </si>
  <si>
    <t>svcArea=titleSvcs, serviceType=chgOwner, Not in progress or complete &lt;90days. 325-V-DF-A</t>
  </si>
  <si>
    <t>svcArea=titleSvcs, serviceType=chgOwnership, Not in progress or complete &lt;90days. 325-V-ND-E</t>
  </si>
  <si>
    <t>svcArea=titleSvcs, serviceType=chgOwnership, Not in progress or complete &lt;90days. 325-V-DD-E</t>
  </si>
  <si>
    <t>svcArea=titleSvcs, serviceType=chgOwnership, Not in progress or complete &lt;90days. 325-V-DF-E</t>
  </si>
  <si>
    <t>svcArea=titleSvcs, serviceType=chgOwnership, Not in progress or complete &lt;90days. 325-W-ND-E</t>
  </si>
  <si>
    <t>svcArea=titleSvcs, serviceType=chgOwnership, Not in progress or complete &lt;90days. 325-W-DF-E</t>
  </si>
  <si>
    <t>svcArea=titleSvcs, serviceType=chgOwner, Not in progress or complete &lt;90days. 325-V-ND-R</t>
  </si>
  <si>
    <t>svcArea=titleSvcs, serviceType=chgOwner, Not in progress or complete &lt;90days. 325-V-DD-R</t>
  </si>
  <si>
    <t>svcArea=titleSvcs, serviceType=chgOwner, Not in progress or complete &lt;90days. 325-V-DF-R</t>
  </si>
  <si>
    <t>svcArea=titleSvcs, serviceType=chgOwner, Not in progress or complete &lt;90days. 325-W-ND-R</t>
  </si>
  <si>
    <t>svcArea=titleSvcs, serviceType=chgOwner, Not in progress or complete &lt;90days. 325-W-DF-R</t>
  </si>
  <si>
    <t>svcArea=titleSvcs, serviceType=chgOwnership, Not in progress or complete &lt;90days. 325-V-ND-T</t>
  </si>
  <si>
    <t>svcArea=titleSvcs, serviceType=chgOwnership, Not in progress or complete &lt;90days. 325-V-DD-T</t>
  </si>
  <si>
    <t>svcArea=titleSvcs, serviceType=chgOwnership, Not in progress or complete &lt;90days. 325-V-DF-T</t>
  </si>
  <si>
    <t>svcArea=titleSvcs, serviceType=chgOwnership, Not in progress or complete &lt;90days. 325-W-ND-T</t>
  </si>
  <si>
    <t>svcArea=titleSvcs, serviceType=chgOwnership, Not in progress or complete &lt;90days. 325-W-DF-T</t>
  </si>
  <si>
    <t>svcArea=titleSvcs, serviceType=chgOwnership, Not in progress or complete &lt;90days. 325-V-ND-X</t>
  </si>
  <si>
    <t>svcArea=titleSvcs, serviceType=chgOwnership, Not in progress or complete &lt;90days. 325-V-DD-X</t>
  </si>
  <si>
    <t>svcArea=titleSvcs, serviceType=chgOwnership, Not in progress or complete &lt;90days. 325-V-DF-X</t>
  </si>
  <si>
    <t>svcArea=titleSvcs, serviceType=chgOwnership, Not in progress or complete &lt;90days. 325-W-ND-X</t>
  </si>
  <si>
    <t>svcArea=titleSvcs, serviceType=chgOwnership, Not in progress or complete &lt;90days. 325-W-DF-X</t>
  </si>
  <si>
    <t>svcArea=titleSvcs, serviceType=chgOwner, Not in progress or complete &lt;90days. 325-W-ND-A</t>
  </si>
  <si>
    <t>svcArea=titleSvcs, serviceType=chgOwner, Not in progress or complete &lt;90days. 325-W-DF-A</t>
  </si>
  <si>
    <t>1098 not active</t>
  </si>
  <si>
    <t>svcArea=titleSvcs, serviceType=checkStatus, Completed=Yes, &gt;15 day=Yes, OFS04 success</t>
  </si>
  <si>
    <t>CallStart Main Menu /Title /CheckStatus/ID Auth=True/ Hear Wrap menu/HU</t>
  </si>
  <si>
    <t>AutoPay not active, currentAMTDue</t>
  </si>
  <si>
    <t>CallStart MM/Payments/ check status/ID Auth/FinSVCS2/FinSVCS3/Autopay not active/Hear current AmtDue/Say no to mk pmt now/HU at Wrap menu 2</t>
  </si>
  <si>
    <t>CallStart Main Menu /Payments /more options/mailing address/at wrap menu say MM/Payments/more options/wire transfer/at wrap menu HU</t>
  </si>
  <si>
    <t>Coll Inbd/ /ID Auth/ID Auth True, hear MM</t>
  </si>
  <si>
    <t>svcArea=titleSvcs, serviceType=chgOwnership, Not in progress or complete &lt;90days. Deeded</t>
  </si>
  <si>
    <t>svcArea=titleSvcs, serviceType=chgOwnership, Not in progress or complete &lt;90days. Non-Deeded</t>
  </si>
  <si>
    <t>svcArea=titleSvcs, serviceType=chgOwnership, Not in progress or complete &lt;90days. DeedFixedWeek</t>
  </si>
  <si>
    <t>CallStart Main Menu /Title /Ownership changes/ID Auth=True/ Rep at ChangeMenu</t>
  </si>
  <si>
    <t>CallStart MM/Payments/ check status/ID Auth/FinSVCS2/FinSVCS3/Autopay active/Hear no AmtDue//HU at Wrap menu 2</t>
  </si>
  <si>
    <t>1098 active</t>
  </si>
  <si>
    <t>CallStart MM/Payments/ request doc/ID Auth/FinSVCS2/FinSVCS3/1098 active/Press 1 Tax Doc/say yes for copy of 1098 at wrap menu say MM/Pmts/request doc/ say something else at dup copy/say POQuote/say yes at send ltr/ HU at Wrap menu</t>
  </si>
  <si>
    <t>serviceType=RequestDocs, 1098 msg not active, cancellation ltr status Cancelled=Yes, Say YES to send ltr to address on file. OFS07 returns success</t>
  </si>
  <si>
    <t>CallStart Main Menu/Pmts and Statements/request doc/ serviceType=requestDocs/ID Auth/ID Auth True,Finance Exception code=else/Say cancellation letter/HU at Wrap menu</t>
  </si>
  <si>
    <t>CallStart Main Menu /Title /Ownership changes/ID Auth=True/ transfer owner at ChangeMenu/ hear peg 0330  say repeat that/ hear 0325 again/Hear 0330again and say rep/xfer</t>
  </si>
  <si>
    <t>0120-2</t>
  </si>
  <si>
    <t>0120HWSEMenuRetry.wav For Wyndham rewards, press 1. Points conversion, 2. Questions about your personal interval choice, 3. To speak to a representative press 0.</t>
  </si>
  <si>
    <t>0110-2.wav  For reservations, press 1, payments and statements 2, title &amp; ownership changes 3, or more options 4. &lt;pause&gt; To speak to a representative, press 0.</t>
  </si>
  <si>
    <t>0200-2</t>
  </si>
  <si>
    <t>0210-2</t>
  </si>
  <si>
    <t>0300-2</t>
  </si>
  <si>
    <t>0310-2</t>
  </si>
  <si>
    <t>0320-2</t>
  </si>
  <si>
    <t>0330-2</t>
  </si>
  <si>
    <t>0400-2</t>
  </si>
  <si>
    <t>0410-2</t>
  </si>
  <si>
    <t>0450-2</t>
  </si>
  <si>
    <t>0470-2</t>
  </si>
  <si>
    <t>0475-2</t>
  </si>
  <si>
    <t>0480-2</t>
  </si>
  <si>
    <t>0485-2</t>
  </si>
  <si>
    <t>0490-2</t>
  </si>
  <si>
    <t>0500-2</t>
  </si>
  <si>
    <t>0920-2</t>
  </si>
  <si>
    <t>0930-2</t>
  </si>
  <si>
    <t>0200AccountNumRetry.wav Please say or enter your account number.</t>
  </si>
  <si>
    <t>0210DOBRetry.wav Please tell me the primary owner’s date of birth including month, day, and year or enter it using 2 digits for month, 2 digits for day, and 4 digits for year.</t>
  </si>
  <si>
    <t>0220-2</t>
  </si>
  <si>
    <t>0220AccountRetry2.wav Please say or enter your account number.</t>
  </si>
  <si>
    <t>0300TitleSvcsMenuRetry.wav To change ownership, press 1. Check the staus of a transfer that is already in progress, 2. Make a payment, 3. Something else 4. To speak to a representative, press 0.</t>
  </si>
  <si>
    <t>310StatusSendLetter3.wav Would you like me to send you a copy of the confirmation letter?  &lt;pause&gt; If you would like to speak with someone, just say "representative."</t>
  </si>
  <si>
    <t>0320RepeatorRep.wav To hear these options again, say repeat that.  If you would like to speak with someone, say representative.</t>
  </si>
  <si>
    <t>0330-2wav  To hear the instructions again, press 1. To receive a letter with instructions by mail, 2. To speak to a representative, press 0.</t>
  </si>
  <si>
    <t>0400FinSvcsMenuRetry.wav  To make a payment, press 1. Check account status, 2. Request a document, 3. More options, 4. To speak to a representative, press 0.</t>
  </si>
  <si>
    <t>405PaymentsSomethingElseMenuRetry.wav For Perks by Club Wyndham, press 1, payment mailing address, 2, wire transfer information, 3, down payment questions, 4. To speak to a representative, press 0.</t>
  </si>
  <si>
    <t>0450PaymentToday.wav Would you like to make a payment today? Press 1 for yes or 2 for no. To speak to a representative, press 0</t>
  </si>
  <si>
    <t>0470SelectDocRetry.wav  For a pay-off quote, press 1. Statements, 2. Cancellation letter, 3. Tax doucments 4. TO speak to a representative, press 0.</t>
  </si>
  <si>
    <t>0475SendCancellationLetterRetry.wav  Would you like me to send you a copy of your cancellation letter to the address on file? If you would like to speak with someone, just say "representative."</t>
  </si>
  <si>
    <t>0480SelectStatementRetry.wav  To receive a copy of your most recent annual statement, press 1. For you most recent monthly statement, 2. To speak to a representative, press 0.</t>
  </si>
  <si>
    <t>0485CurrentPayoff.wav Your current payoff amount is [amount]. Would you like me to send you a payoff letter with this information?</t>
  </si>
  <si>
    <t>0490TaxDoc.wav  Would you like me to send a copy of your most recent 1098 tax document to the address on file?</t>
  </si>
  <si>
    <t>0500PastDue.wav  You have a past due balance of [amount]. Would you like to make that payment in full today?</t>
  </si>
  <si>
    <t>0920WrapMenuRetry.wav   Is there anything else I can help you with today? You can say main menu or simply hang up.</t>
  </si>
  <si>
    <t>0930WrapMenu2.wav  Is there anything else I can help you with today? You can say main menu or simply hang up.</t>
  </si>
  <si>
    <t>CallStart Main Menu /Payments /more options/Down Pmt questions</t>
  </si>
  <si>
    <t>TC108</t>
  </si>
  <si>
    <t>TC109</t>
  </si>
  <si>
    <t>TC111</t>
  </si>
  <si>
    <t>CallStart MM/no input 2x/xfer</t>
  </si>
  <si>
    <t>CallStart MM/Something else/no match2x/xfer</t>
  </si>
  <si>
    <t>COLL INBD/IDAUTH/ acct # no input no match/xfer</t>
  </si>
  <si>
    <t>COLL INBD/IDAUTH/ enter acct #/ incorrect DoB/ nomatch 2x/xfer</t>
  </si>
  <si>
    <t>COLL INBD/IDAUTH/ enter acct #/ DoB noinput 2x/xfer</t>
  </si>
  <si>
    <t>CallStart Main Menu /Title /no input no match at peg 300/ Xfer</t>
  </si>
  <si>
    <t>TITLE SVCS</t>
  </si>
  <si>
    <t>ID AUTH</t>
  </si>
  <si>
    <t>CHECK STATUS</t>
  </si>
  <si>
    <t>CallStart Main Menu /Title /CheckStatus peg 310 no input 2X/ Xfer</t>
  </si>
  <si>
    <t>CallStart Main Menu /Title /Ownership changes/ID Auth=True/peg 320 no match 2X/Xfer</t>
  </si>
  <si>
    <t>CallStart Main Menu /Title /Ownership changes/ID Auth=True/ Add owner/ peg 0330 noinput no match/xfer</t>
  </si>
  <si>
    <t>FIN SVCS</t>
  </si>
  <si>
    <t>CallStart Main Menu /Payments /no input 2x/xfer</t>
  </si>
  <si>
    <t>CallStart Main Menu /Payments /more options/no match 2X/sfer</t>
  </si>
  <si>
    <t>FIN HWSE</t>
  </si>
  <si>
    <t>CallStart Main Menu/Pmts and Statements/request doc/ serviceType=requestDocs/ID Auth/ID Auth True,Finance Exception code=else/at peg 470 no input no match/Xfer</t>
  </si>
  <si>
    <t>TC112</t>
  </si>
  <si>
    <t>TC113</t>
  </si>
  <si>
    <t>TC114</t>
  </si>
  <si>
    <t>TC116</t>
  </si>
  <si>
    <t>TC117</t>
  </si>
  <si>
    <t>prompt/noinput/recover</t>
  </si>
  <si>
    <t>prompt/nomatch/recover</t>
  </si>
  <si>
    <t>TC107</t>
  </si>
  <si>
    <t>TC118</t>
  </si>
  <si>
    <t>TC119</t>
  </si>
  <si>
    <t>TC120</t>
  </si>
  <si>
    <t>TC115</t>
  </si>
  <si>
    <t>CallStart Main Menu/Pmts and Statements/request doc/ serviceType=requestDocs/ID Auth/ID Auth True,Finance Exception code=else/peg 0475 no match 2X/Xfer</t>
  </si>
  <si>
    <t>serviceType=RequestDocs, 1098 msg not active, cancellation ltr status Cancelled=Yes</t>
  </si>
  <si>
    <t>CallStart Main Menu/Pmts and Statements/request doc/ serviceType=requestDocs/ID Auth/ID Auth True,Finance Exception code=else/Statement/no input no match/Xfer</t>
  </si>
  <si>
    <t>serviceType=RequestDocs, 1098 msg not active, PO</t>
  </si>
  <si>
    <t>CallStart Main Menu/Pmts and Statements/request doc/ serviceType=requestDocs/ID Auth/ID Auth True,Finance Exception code=else/Payoff/ no input 2X/Xfer</t>
  </si>
  <si>
    <t xml:space="preserve">serviceType=RequestDocs, 1098 msg not active, Tax Docs </t>
  </si>
  <si>
    <t>CallStart Main Menu/Pmts and Statements/request doc/ serviceType=requestDocs/ID Auth/ID Auth True,Finance Exception code=else/Tax Docs/ no match 2X/Xfer</t>
  </si>
  <si>
    <t>SvcArea =Collections, OFS05 returns success this may be Call Start - not sure which to get 0FS05 to return "success". Past Due=Yes DPD&gt;x=No</t>
  </si>
  <si>
    <t>Coll Inbd/ /ID Auth/ID Auth True,no input no match/ Xfer</t>
  </si>
  <si>
    <t xml:space="preserve">svcArea=titleSvcs, serviceType=checkStatus, Completed=Yes, &gt; 15 days ago?=yes. Say Yes to peg 0310 send copy of conf ltr. OSF04 returns success. </t>
  </si>
  <si>
    <t>CallStart Main Menu /Title /CheckStatus/ID Auth=True/Yes to copy of conf ltr/no input 2X/ Xfer</t>
  </si>
  <si>
    <t>COLL INBD/IDAUTH/ enter acct #/ incorrect DoB/incorrect DoB/call xfer</t>
  </si>
  <si>
    <t>ID AUTH retry  - check logs for  ID.authenticated=false</t>
  </si>
  <si>
    <t>ID AUTH retry  - check logs for  ID.authenticated=True 
not past due hear MM</t>
  </si>
  <si>
    <t>COLL INBD/IDAUTH/ enter acct #/ incorrect DoB/CORRECT DoB/hear MM/HU</t>
  </si>
  <si>
    <t>Medium Confidence</t>
  </si>
  <si>
    <t>CallStart Main Menu/no input/ More options/Hear HWSE menu/HU</t>
  </si>
  <si>
    <t>CallStart Main Menu/no Match/ More options/Hear HWSE menu/HU</t>
  </si>
  <si>
    <t>Call Start Xfer to Spanish</t>
  </si>
  <si>
    <t>Press 9</t>
  </si>
  <si>
    <t>Spanish language (MM)</t>
  </si>
  <si>
    <t>Reservations</t>
  </si>
  <si>
    <t>More Options</t>
  </si>
  <si>
    <t>Wyndham Rewards</t>
  </si>
  <si>
    <t>Hear</t>
  </si>
  <si>
    <t>Points Conversion</t>
  </si>
  <si>
    <t>Personal Interval choice</t>
  </si>
  <si>
    <t>Representative</t>
  </si>
  <si>
    <t>TITLE</t>
  </si>
  <si>
    <t>TEST DID NUMBER COLL INBD</t>
  </si>
  <si>
    <t>Spanish language (ID AUTH)</t>
  </si>
  <si>
    <t>CALLID</t>
  </si>
  <si>
    <t>CallID.wav Call ID &lt;CallID&gt;</t>
  </si>
  <si>
    <t>TEST</t>
  </si>
  <si>
    <t>XFERNBR</t>
  </si>
  <si>
    <t>XferNbr.wav Transfer Number &lt;TransferNbr&gt;</t>
  </si>
  <si>
    <t>CallID</t>
  </si>
  <si>
    <t>[Account Number]</t>
  </si>
  <si>
    <t xml:space="preserve">TEST DID NUMBER </t>
  </si>
  <si>
    <t>Title and Ownership changes</t>
  </si>
  <si>
    <t>Ownership changes</t>
  </si>
  <si>
    <t>CallStart MM/title/ownership changes/ IDAuth=NotTrue IDAuthRetry=not true Xfer</t>
  </si>
  <si>
    <t>CallStart MM/title/something else/ IDAuth=NotTrue IDAuthRetry=True Xfer</t>
  </si>
  <si>
    <t xml:space="preserve">Title and Ownership </t>
  </si>
  <si>
    <t>Make Payment</t>
  </si>
  <si>
    <t xml:space="preserve">CallStart MM/title/Mk pmt/IDAuth not ture/ IDAuth=True/xfer </t>
  </si>
  <si>
    <t>Check Status</t>
  </si>
  <si>
    <t>[invalid Date of Birth MMDDYYYY]</t>
  </si>
  <si>
    <t>[Invalid Date of Birth MMDDYYYY]</t>
  </si>
  <si>
    <t>Account Status</t>
  </si>
  <si>
    <t>NO</t>
  </si>
  <si>
    <t>[account number]</t>
  </si>
  <si>
    <t>0310-1.wav Your request to transfer ownership was processed on &lt;date&gt;. Would you like me to send you a copy of the confirmation letter? &lt;pause&gt; If you would like to speak with someone, just say "representative."</t>
  </si>
  <si>
    <t>TechDiff</t>
  </si>
  <si>
    <t>Ownership change</t>
  </si>
  <si>
    <t>Rep</t>
  </si>
  <si>
    <t>More options</t>
  </si>
  <si>
    <t>My number is [Account Number]</t>
  </si>
  <si>
    <t>It is [Account Number]</t>
  </si>
  <si>
    <t>It's [Account Number]</t>
  </si>
  <si>
    <t>Ownership</t>
  </si>
  <si>
    <t>Transfer Ownership</t>
  </si>
  <si>
    <t>It is [Date of Birth month day year]</t>
  </si>
  <si>
    <t>IT's [Date of Birth MMDDYYYY]</t>
  </si>
  <si>
    <t>My birthday is[Date of Birth MMDDYYYY]</t>
  </si>
  <si>
    <t>My birthdate is [Valid Date of Birth MMDDYYYY]</t>
  </si>
  <si>
    <t>My date of birth is [Date of Birth month day year]</t>
  </si>
  <si>
    <t>The birthday is [Date of Birth MMDDYYYY]</t>
  </si>
  <si>
    <t>The birthdate is [Month Day Year]</t>
  </si>
  <si>
    <t>[Account number]</t>
  </si>
  <si>
    <t>Repeat That</t>
  </si>
  <si>
    <t>Customer Service</t>
  </si>
  <si>
    <t>Repeat</t>
  </si>
  <si>
    <t>Add an Owner</t>
  </si>
  <si>
    <t>Repeat that</t>
  </si>
  <si>
    <t>Operator</t>
  </si>
  <si>
    <t>CallStart Main Menu /Title /Ownership changes/ID Auth=True/ Add owner/Hear Rep at peg 0330 Hear again/say rep</t>
  </si>
  <si>
    <t>[DoB MMDDYYYY]</t>
  </si>
  <si>
    <t>[DoB MonthDayYear]</t>
  </si>
  <si>
    <t>Change your name</t>
  </si>
  <si>
    <t>Agent</t>
  </si>
  <si>
    <t xml:space="preserve">Ownership  </t>
  </si>
  <si>
    <t>The date of birth is [MonthDayYear]</t>
  </si>
  <si>
    <t>Add an owner</t>
  </si>
  <si>
    <t xml:space="preserve">SPEAK </t>
  </si>
  <si>
    <t>Information Letter</t>
  </si>
  <si>
    <t>325-S-ND-R.wav</t>
  </si>
  <si>
    <t xml:space="preserve">Ownership </t>
  </si>
  <si>
    <t>[MonthDayYear]</t>
  </si>
  <si>
    <t>Remove an Owner</t>
  </si>
  <si>
    <t>Information letter</t>
  </si>
  <si>
    <t>0325-D-DD-E.wav</t>
  </si>
  <si>
    <t>Change Name</t>
  </si>
  <si>
    <t>DOB [MonthDayYear]</t>
  </si>
  <si>
    <t>Ownership Change</t>
  </si>
  <si>
    <t>[Dob MonthDayYear]</t>
  </si>
  <si>
    <t>Place ownership into my trust</t>
  </si>
  <si>
    <t>CallStart Main Menu /Title /Ownership changes/ID Auth=True/ change name at ChangeMenu/say Agent at peg 330/xfer</t>
  </si>
  <si>
    <t>CallStart Main Menu /Title /Ownership changes/ID Auth=True/ remove owner at ChangeMenu/HU after hearing peg 0330 hear again</t>
  </si>
  <si>
    <t xml:space="preserve">CallStart Main Menu /Title /Ownership changes/ID Auth=True/ transfer owner at ChangeMenu/HU after hearing peg 0330 </t>
  </si>
  <si>
    <t>CallStart Main Menu /Title /Ownership changes/ID Auth=True/ add owner at ChangeMenu/HU after hearing peg 0330 hear again</t>
  </si>
  <si>
    <t xml:space="preserve">CallStart Main Menu /Title /Ownership changes/ID Auth=True/ add owner at ChangeMenu/HU after hearing peg 0330 </t>
  </si>
  <si>
    <t>CallStart Main Menu /Title /Ownership changes/ID Auth=True/ change name at ChangeMenu/HU after hearing peg 0330</t>
  </si>
  <si>
    <t xml:space="preserve">CallStart Main Menu /Title /Ownership changes/ID Auth=True/ change name at ChangeMenu/HU after hearing peg 0330 </t>
  </si>
  <si>
    <t xml:space="preserve">CallStart Main Menu /Title /Ownership changes/ID Auth=True/ remove owner at ChangeMenu/HU after hearing peg 0330 </t>
  </si>
  <si>
    <t>CallStart Main Menu /Title /Ownership changes/ID Auth=True/ownership trust at ChangeMenu/HU after hearing peg 0330</t>
  </si>
  <si>
    <t xml:space="preserve">CallStart Main Menu /Title /Ownership changes/ID Auth=True/ownership trust at ChangeMenu/HU after hearing peg 0330 </t>
  </si>
  <si>
    <t>CallStart Main Menu /Title /Ownership changes/ID Auth=True/ add owner at ChangeMenu/HU after hearing peg 0330</t>
  </si>
  <si>
    <t>Remove an owner</t>
  </si>
  <si>
    <t>CallStart Main Menu /Title /Ownership changes/ID Auth=True/ownership trust at ChangeMenu/ after hearing peg 0330 / say info letter/HU</t>
  </si>
  <si>
    <t>Add Owner</t>
  </si>
  <si>
    <t>Change name</t>
  </si>
  <si>
    <t>Remove Owner</t>
  </si>
  <si>
    <t>Place ownership into trust</t>
  </si>
  <si>
    <t>Transfer owner</t>
  </si>
  <si>
    <t>Change my name</t>
  </si>
  <si>
    <t>Transfer ownership to someone else</t>
  </si>
  <si>
    <t>Perks by Club Wyndham</t>
  </si>
  <si>
    <t>Statements</t>
  </si>
  <si>
    <t>Payments</t>
  </si>
  <si>
    <t>Make a payment</t>
  </si>
  <si>
    <t>CallStart Main Menu /Payments /Mk Pmt/ID Auth/ID Auth=NOT True, Xfer</t>
  </si>
  <si>
    <t>[Invalid DoB]</t>
  </si>
  <si>
    <t xml:space="preserve"> SPEAK</t>
  </si>
  <si>
    <t>[Valid DoB]</t>
  </si>
  <si>
    <t>Payments and  statements</t>
  </si>
  <si>
    <t>Payment</t>
  </si>
  <si>
    <t>Make payment</t>
  </si>
  <si>
    <t>Statement</t>
  </si>
  <si>
    <t>Request a document</t>
  </si>
  <si>
    <t>CallStart MM/Payments/ request doc/ID Auth/FinSVCS2/FinSVCS3/1098 not active/Statement/monthly/HU at MM</t>
  </si>
  <si>
    <t>Monthly</t>
  </si>
  <si>
    <t>Main Menu</t>
  </si>
  <si>
    <t>CallStart Main Menu/Pmt &amp; Stmt/Make Pmt/ serviceType=makePayment /ID Auth/ID Auth True, Finance exception code=Else,Autopay not Active /Xfer</t>
  </si>
  <si>
    <t>CallStart Main Menu/Pmt&amp;Stmt/Make Pmt/ serviceType=makePayment /ID Auth/ID Auth True, Finance exception code=Else,Autopay Active /Xfer</t>
  </si>
  <si>
    <t>CallStart Main Menu/Pmts&amp;Stmts/check status/ serviceType=check Status/ID Auth/ID Auth True,Finance Exception code=else/Xfer</t>
  </si>
  <si>
    <t>Yes</t>
  </si>
  <si>
    <t>Account status</t>
  </si>
  <si>
    <t>No</t>
  </si>
  <si>
    <t>Documents</t>
  </si>
  <si>
    <t>Cancellation Letter</t>
  </si>
  <si>
    <t>Document</t>
  </si>
  <si>
    <t>Annual</t>
  </si>
  <si>
    <t>seasonal1098.wav Tax statements are mailed by January 31st to your billing address. If you would like to request a duplicate copy, press 1 now...</t>
  </si>
  <si>
    <t>Payoff quote</t>
  </si>
  <si>
    <t>Tax documents</t>
  </si>
  <si>
    <t>Payoff Quote</t>
  </si>
  <si>
    <t>Tax Document</t>
  </si>
  <si>
    <t>SvcArea =Collections, OFS05 returns success, not past due</t>
  </si>
  <si>
    <t>Menu</t>
  </si>
  <si>
    <t>Wrap Menu2/MM: CallStart Main Menu/Payments/check status/ serviceType=check Status/ID Auth/ID Auth True,Finance Exception code=else/Say No, to make a payment today/Say MM to anything else today/ hear MM</t>
  </si>
  <si>
    <t>CallStart Main Menu/Payments/check status/ serviceType=check Status/ID Auth/ID Auth True,Finance Exception code=else/Say No, to make a payment today/Say Rep to anything else today/ Xfer</t>
  </si>
  <si>
    <t>Call Disconnects</t>
  </si>
  <si>
    <t>CallStart Main Menu /Title /CheckStatus/ID Auth=True/Yes to copy of conf ltr/Say YES to anything thing else today/ Say representative/Xfer</t>
  </si>
  <si>
    <t>Mailing address</t>
  </si>
  <si>
    <t>Wire transfer information</t>
  </si>
  <si>
    <t>CallStart MM/ Title Ownership changes/check status/ID Auth/ID Auth True/Change menu/rep/xfer</t>
  </si>
  <si>
    <t>more than 3 contract=no, Autopay active, no AmtDue</t>
  </si>
  <si>
    <t>Request document</t>
  </si>
  <si>
    <t>Cancellation letter</t>
  </si>
  <si>
    <t>Down Payment questions</t>
  </si>
  <si>
    <t>Remain Silent</t>
  </si>
  <si>
    <t>Dial</t>
  </si>
  <si>
    <t>Remain silent</t>
  </si>
  <si>
    <t>[Incorrect DoB MonthDayYear]</t>
  </si>
  <si>
    <t>Transfer ownership</t>
  </si>
  <si>
    <t>325-S-ND-A.wav</t>
  </si>
  <si>
    <t>CallStart Main Menu/Pmts/check status/ serviceType=check Status/ID Auth/ID Auth True,Finance Exception code=else/peg 450 no input/no match/Xfer</t>
  </si>
  <si>
    <t>[DOB Month Day Year]</t>
  </si>
  <si>
    <t xml:space="preserve">DIAL </t>
  </si>
  <si>
    <t>Request a Document</t>
  </si>
  <si>
    <t>CallStart Main Menu/Pmts/check status/ serviceType=check Status/ID Auth/ID Auth True,Finance Exception code=else/Say No, to make a payment today/no match 2X/ Xfer</t>
  </si>
  <si>
    <t>[Incorrect DoB MMDDYYYY]</t>
  </si>
  <si>
    <t>Correct DoB MMDDYYYY</t>
  </si>
  <si>
    <t>COLL INBD/IDAUTH/ enter acct/ hear conf prompt/hear repromt/ enter acct/hear conf prompt /call xfer</t>
  </si>
  <si>
    <t>0100.wav Thank you for calling Shell vacations Club, we are glad you called. Please have your account number available for faster service. [To continue in Spanish, press 9]</t>
  </si>
  <si>
    <t>0415.wav Please make check payable to: Shell Vacations Club and allow 7-14 business days for processing. For Loan Payments, include your account number in the memo section. Indicate that it is a "principal pre-payment", if it is not a normal payment. Mail check to : 
6277 Sea Harbor Drive
Orlando, FL 32821
 [repeats]</t>
  </si>
  <si>
    <t xml:space="preserve">Brand Code S: Shell </t>
  </si>
  <si>
    <t xml:space="preserve">Brand Code V: WVR </t>
  </si>
  <si>
    <t xml:space="preserve">Brand Code W: WbW </t>
  </si>
  <si>
    <t>peg 0200</t>
  </si>
  <si>
    <t>On Hold</t>
  </si>
  <si>
    <t xml:space="preserve"> serviceType=chgOwnership, Not in progress or complete &lt;90days.</t>
  </si>
  <si>
    <t>0430aAutopay.wav We invite you to enroll in our Auto Pay program, it's a great way to avoid payment oversights and certain processing fees. To enroll, please hold while we transfer you then follow the prompts to enroll and make a payment.</t>
  </si>
  <si>
    <t>Help with something else</t>
  </si>
  <si>
    <t>Make a Payment</t>
  </si>
  <si>
    <t>Changes</t>
  </si>
  <si>
    <t>Something else</t>
  </si>
  <si>
    <t>Payments and Statements</t>
  </si>
  <si>
    <t>Title and ownership changes</t>
  </si>
  <si>
    <t>Title and ownershp changes</t>
  </si>
  <si>
    <t xml:space="preserve">CHANGE MENU. Not in progress or complete &lt;90days.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</si>
</sst>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5">
    <font>
      <sz val="11"/>
      <color theme="1"/>
      <name val="Calibri"/>
      <family val="2"/>
      <scheme val="minor"/>
    </font>
    <font>
      <sz val="11"/>
      <color theme="1"/>
      <name val="Calibri"/>
      <family val="2"/>
      <scheme val="minor"/>
    </font>
    <font>
      <b/>
      <sz val="11"/>
      <color theme="1"/>
      <name val="Calibri"/>
      <family val="2"/>
      <scheme val="minor"/>
    </font>
    <font>
      <b/>
      <sz val="22"/>
      <color theme="0"/>
      <name val="Calibri"/>
      <family val="2"/>
      <scheme val="minor"/>
    </font>
    <font>
      <sz val="14"/>
      <color theme="1"/>
      <name val="Calibri"/>
      <family val="2"/>
      <scheme val="minor"/>
    </font>
    <font>
      <u/>
      <sz val="11"/>
      <color theme="10"/>
      <name val="Calibri"/>
      <family val="2"/>
    </font>
    <font>
      <b/>
      <u/>
      <sz val="20"/>
      <color rgb="FF013C7D"/>
      <name val="Calibri"/>
      <family val="2"/>
    </font>
    <font>
      <u/>
      <sz val="11"/>
      <color theme="10"/>
      <name val="Calibri"/>
      <family val="2"/>
      <scheme val="minor"/>
    </font>
    <font>
      <u/>
      <sz val="16"/>
      <color theme="10"/>
      <name val="Calibri"/>
      <family val="2"/>
      <scheme val="minor"/>
    </font>
    <font>
      <b/>
      <sz val="11"/>
      <name val="Calibri"/>
      <family val="2"/>
      <scheme val="minor"/>
    </font>
    <font>
      <sz val="11"/>
      <color theme="1"/>
      <name val="Calibri"/>
      <family val="2"/>
    </font>
    <font>
      <b/>
      <u/>
      <sz val="14"/>
      <color theme="10"/>
      <name val="Calibri"/>
      <family val="2"/>
      <scheme val="minor"/>
    </font>
    <font>
      <b/>
      <sz val="12"/>
      <color theme="0"/>
      <name val="Calibri"/>
      <family val="2"/>
      <scheme val="minor"/>
    </font>
    <font>
      <b/>
      <sz val="11"/>
      <color rgb="FFFF0000"/>
      <name val="Calibri"/>
      <family val="2"/>
    </font>
    <font>
      <sz val="8"/>
      <color theme="1"/>
      <name val="Calibri"/>
      <family val="2"/>
      <scheme val="minor"/>
    </font>
    <font>
      <sz val="8"/>
      <color theme="1"/>
      <name val="Calibri"/>
      <family val="2"/>
    </font>
    <font>
      <sz val="6"/>
      <color theme="1"/>
      <name val="Calibri"/>
      <family val="2"/>
      <scheme val="minor"/>
    </font>
    <font>
      <sz val="11"/>
      <name val="Calibri"/>
      <family val="2"/>
      <scheme val="minor"/>
    </font>
    <font>
      <sz val="11"/>
      <color theme="1"/>
      <name val="Calibri"/>
      <family val="2"/>
      <scheme val="minor"/>
    </font>
    <font>
      <b/>
      <sz val="11"/>
      <color rgb="FF00B050"/>
      <name val="Calibri"/>
      <family val="2"/>
      <scheme val="minor"/>
    </font>
    <font>
      <u/>
      <sz val="16"/>
      <color theme="10"/>
      <name val="Calibri"/>
      <family val="2"/>
      <scheme val="minor"/>
    </font>
    <font>
      <b/>
      <sz val="11"/>
      <color theme="1"/>
      <name val="Calibri"/>
      <family val="2"/>
      <scheme val="minor"/>
    </font>
    <font>
      <sz val="11"/>
      <color theme="1"/>
      <name val="Calibri"/>
      <family val="2"/>
      <scheme val="minor"/>
    </font>
    <font>
      <b/>
      <sz val="11"/>
      <name val="Calibri"/>
      <family val="2"/>
      <scheme val="minor"/>
    </font>
    <font>
      <u/>
      <sz val="11"/>
      <color theme="11"/>
      <name val="Calibri"/>
      <family val="2"/>
      <scheme val="minor"/>
    </font>
    <font>
      <sz val="6"/>
      <color theme="1"/>
      <name val="Calibri"/>
      <scheme val="minor"/>
    </font>
    <font>
      <sz val="8"/>
      <color theme="1"/>
      <name val="Calibri"/>
      <scheme val="minor"/>
    </font>
    <font>
      <b/>
      <sz val="11"/>
      <color theme="0" tint="-0.34998626667073579"/>
      <name val="Calibri"/>
      <family val="2"/>
      <scheme val="minor"/>
    </font>
    <font>
      <sz val="8"/>
      <name val="Calibri"/>
      <family val="2"/>
      <scheme val="minor"/>
    </font>
    <font>
      <b/>
      <u/>
      <sz val="28"/>
      <color rgb="FF013C7D"/>
      <name val="Calibri"/>
      <family val="2"/>
      <scheme val="minor"/>
    </font>
    <font>
      <sz val="11"/>
      <color rgb="FF000000"/>
      <name val="Calibri"/>
      <family val="2"/>
      <scheme val="minor"/>
    </font>
    <font>
      <sz val="6"/>
      <color theme="1"/>
      <name val="Calibri"/>
      <family val="2"/>
    </font>
    <font>
      <u/>
      <sz val="16"/>
      <color theme="10"/>
      <name val="Calibri"/>
      <scheme val="minor"/>
    </font>
    <font>
      <b/>
      <sz val="11"/>
      <color theme="1"/>
      <name val="Calibri"/>
      <scheme val="minor"/>
    </font>
    <font>
      <sz val="11"/>
      <color theme="1"/>
      <name val="Calibri"/>
      <scheme val="minor"/>
    </font>
    <font>
      <b/>
      <sz val="11"/>
      <name val="Calibri"/>
      <scheme val="minor"/>
    </font>
    <font>
      <sz val="11"/>
      <name val="Calibri"/>
      <scheme val="minor"/>
    </font>
    <font>
      <b/>
      <sz val="11"/>
      <color rgb="FF00B050"/>
      <name val="Calibri"/>
      <scheme val="minor"/>
    </font>
    <font>
      <b/>
      <sz val="11"/>
      <color theme="1"/>
      <name val="Calibri"/>
      <family val="2"/>
    </font>
    <font>
      <b/>
      <sz val="11"/>
      <color rgb="FFFF0000"/>
      <name val="Calibri"/>
      <family val="2"/>
      <scheme val="minor"/>
    </font>
    <font>
      <b/>
      <sz val="11"/>
      <name val="Calibri"/>
      <family val="2"/>
    </font>
    <font>
      <sz val="11"/>
      <name val="Calibri"/>
      <family val="2"/>
    </font>
    <font>
      <sz val="11"/>
      <color rgb="FFFF0000"/>
      <name val="Calibri"/>
      <family val="2"/>
      <scheme val="minor"/>
    </font>
    <font>
      <sz val="11"/>
      <color theme="1" tint="4.9989318521683403E-2"/>
      <name val="Calibri"/>
      <family val="2"/>
      <scheme val="minor"/>
    </font>
    <font>
      <i/>
      <sz val="11"/>
      <color rgb="FFFF0000"/>
      <name val="Calibri"/>
      <family val="2"/>
      <scheme val="minor"/>
    </font>
  </fonts>
  <fills count="5">
    <fill>
      <patternFill patternType="none"/>
    </fill>
    <fill>
      <patternFill patternType="gray125"/>
    </fill>
    <fill>
      <patternFill patternType="solid">
        <fgColor theme="2" tint="-0.499984740745262"/>
        <bgColor indexed="64"/>
      </patternFill>
    </fill>
    <fill>
      <patternFill patternType="solid">
        <fgColor theme="2" tint="-0.249977111117893"/>
        <bgColor theme="0" tint="-0.14999847407452621"/>
      </patternFill>
    </fill>
    <fill>
      <patternFill patternType="solid">
        <fgColor theme="0" tint="-0.14999847407452621"/>
        <bgColor indexed="64"/>
      </patternFill>
    </fill>
  </fills>
  <borders count="2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style="medium">
        <color rgb="FF000000"/>
      </right>
      <top style="medium">
        <color rgb="FF000000"/>
      </top>
      <bottom style="medium">
        <color rgb="FF000000"/>
      </bottom>
      <diagonal/>
    </border>
    <border>
      <left/>
      <right style="thin">
        <color indexed="64"/>
      </right>
      <top style="thin">
        <color indexed="64"/>
      </top>
      <bottom/>
      <diagonal/>
    </border>
  </borders>
  <cellStyleXfs count="1264">
    <xf numFmtId="0" fontId="0" fillId="0" borderId="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0"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200">
    <xf numFmtId="0" fontId="0" fillId="0" borderId="0" xfId="0"/>
    <xf numFmtId="0" fontId="0" fillId="0" borderId="0" xfId="0" applyProtection="1"/>
    <xf numFmtId="0" fontId="3" fillId="2" borderId="10" xfId="0" applyFont="1" applyFill="1" applyBorder="1" applyAlignment="1">
      <alignment horizontal="center"/>
    </xf>
    <xf numFmtId="0" fontId="3" fillId="2" borderId="10" xfId="0" applyFont="1" applyFill="1" applyBorder="1" applyAlignment="1">
      <alignment horizontal="center" vertical="center" wrapText="1"/>
    </xf>
    <xf numFmtId="0" fontId="4" fillId="0" borderId="0" xfId="0" applyFont="1"/>
    <xf numFmtId="0" fontId="0" fillId="0" borderId="12" xfId="0" applyFont="1" applyFill="1" applyBorder="1" applyAlignment="1">
      <alignment horizontal="center" vertical="center"/>
    </xf>
    <xf numFmtId="0" fontId="2" fillId="0" borderId="12" xfId="0" applyFont="1" applyFill="1" applyBorder="1" applyAlignment="1">
      <alignment horizontal="center" vertical="center" wrapText="1"/>
    </xf>
    <xf numFmtId="0" fontId="8" fillId="0" borderId="14" xfId="2" applyFont="1" applyFill="1" applyBorder="1" applyAlignment="1">
      <alignment horizontal="center" vertical="center"/>
    </xf>
    <xf numFmtId="0" fontId="2" fillId="0" borderId="14" xfId="0" applyFont="1" applyFill="1" applyBorder="1" applyAlignment="1">
      <alignment horizontal="center" vertical="center" wrapText="1"/>
    </xf>
    <xf numFmtId="0" fontId="0" fillId="0" borderId="14" xfId="0" applyFont="1" applyFill="1" applyBorder="1" applyAlignment="1">
      <alignment horizontal="left" vertical="center" wrapText="1"/>
    </xf>
    <xf numFmtId="0" fontId="0" fillId="0" borderId="14" xfId="0" applyFont="1" applyFill="1" applyBorder="1" applyAlignment="1">
      <alignment horizontal="center" vertical="center"/>
    </xf>
    <xf numFmtId="0" fontId="0" fillId="0" borderId="14" xfId="0" applyFont="1" applyFill="1" applyBorder="1" applyAlignment="1">
      <alignment horizontal="center" vertical="center" wrapText="1"/>
    </xf>
    <xf numFmtId="0" fontId="8" fillId="0" borderId="17" xfId="2" applyFont="1" applyFill="1" applyBorder="1" applyAlignment="1">
      <alignment horizontal="center" vertical="center"/>
    </xf>
    <xf numFmtId="0" fontId="0" fillId="0" borderId="18" xfId="0" applyFont="1" applyFill="1" applyBorder="1" applyAlignment="1">
      <alignment horizontal="center" vertical="center"/>
    </xf>
    <xf numFmtId="0" fontId="0" fillId="0" borderId="19" xfId="0" applyFont="1" applyFill="1" applyBorder="1" applyAlignment="1">
      <alignment horizontal="center" vertical="center" wrapText="1"/>
    </xf>
    <xf numFmtId="0" fontId="0" fillId="0" borderId="0" xfId="0" applyFont="1"/>
    <xf numFmtId="0" fontId="2" fillId="0" borderId="18" xfId="0" applyFont="1" applyFill="1" applyBorder="1" applyAlignment="1">
      <alignment horizontal="center" vertical="center" wrapText="1"/>
    </xf>
    <xf numFmtId="0" fontId="0" fillId="0" borderId="12" xfId="0" applyFont="1" applyBorder="1" applyAlignment="1">
      <alignment horizontal="left" vertical="center" wrapText="1"/>
    </xf>
    <xf numFmtId="0" fontId="11" fillId="0" borderId="0" xfId="2" applyFont="1" applyBorder="1" applyAlignment="1">
      <alignment vertical="center"/>
    </xf>
    <xf numFmtId="0" fontId="0" fillId="4" borderId="18" xfId="0" applyFill="1" applyBorder="1"/>
    <xf numFmtId="0" fontId="0" fillId="0" borderId="18" xfId="0" applyBorder="1" applyAlignment="1">
      <alignment horizontal="left"/>
    </xf>
    <xf numFmtId="0" fontId="0" fillId="0" borderId="0" xfId="0" applyAlignment="1">
      <alignment horizontal="left" vertical="center"/>
    </xf>
    <xf numFmtId="0" fontId="0" fillId="4" borderId="12" xfId="0" applyFill="1" applyBorder="1"/>
    <xf numFmtId="0" fontId="0" fillId="0" borderId="12" xfId="0" applyBorder="1" applyAlignment="1">
      <alignment horizontal="left"/>
    </xf>
    <xf numFmtId="0" fontId="0" fillId="0" borderId="11" xfId="0" applyBorder="1" applyAlignment="1">
      <alignment horizontal="center" vertical="center"/>
    </xf>
    <xf numFmtId="0" fontId="0" fillId="0" borderId="0" xfId="0" applyBorder="1" applyAlignment="1">
      <alignment horizontal="left" vertical="center" wrapText="1"/>
    </xf>
    <xf numFmtId="0" fontId="0" fillId="0" borderId="0" xfId="0" applyAlignment="1">
      <alignment horizontal="left" vertical="center"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wrapText="1"/>
    </xf>
    <xf numFmtId="0" fontId="0" fillId="0" borderId="0" xfId="0" applyAlignment="1">
      <alignment horizontal="center" vertical="center"/>
    </xf>
    <xf numFmtId="0" fontId="15" fillId="0" borderId="13" xfId="0" applyFont="1" applyBorder="1" applyAlignment="1">
      <alignment horizontal="center" vertical="center"/>
    </xf>
    <xf numFmtId="0" fontId="0" fillId="0" borderId="0" xfId="0" applyFont="1" applyAlignment="1">
      <alignment horizontal="center" vertical="center"/>
    </xf>
    <xf numFmtId="164" fontId="2" fillId="0" borderId="13" xfId="0" applyNumberFormat="1" applyFont="1" applyBorder="1" applyAlignment="1">
      <alignment horizontal="center" vertical="center" wrapText="1"/>
    </xf>
    <xf numFmtId="0" fontId="2" fillId="0" borderId="12" xfId="0" applyFont="1" applyBorder="1" applyAlignment="1">
      <alignment horizontal="center" vertical="center"/>
    </xf>
    <xf numFmtId="0" fontId="2" fillId="0" borderId="12" xfId="0" applyFont="1" applyFill="1" applyBorder="1" applyAlignment="1">
      <alignment horizontal="center" vertical="center"/>
    </xf>
    <xf numFmtId="0" fontId="2" fillId="0" borderId="18" xfId="0" applyFont="1" applyFill="1" applyBorder="1" applyAlignment="1">
      <alignment horizontal="center" vertical="center"/>
    </xf>
    <xf numFmtId="0" fontId="0" fillId="0" borderId="12" xfId="0" applyBorder="1" applyAlignment="1">
      <alignment horizontal="left" vertical="center" wrapText="1"/>
    </xf>
    <xf numFmtId="0" fontId="0" fillId="4" borderId="12" xfId="0" applyFill="1" applyBorder="1" applyAlignment="1">
      <alignment wrapText="1"/>
    </xf>
    <xf numFmtId="0" fontId="0" fillId="0" borderId="0" xfId="0"/>
    <xf numFmtId="0" fontId="0" fillId="0" borderId="0" xfId="0"/>
    <xf numFmtId="0" fontId="0" fillId="0" borderId="0" xfId="0"/>
    <xf numFmtId="0" fontId="18" fillId="0" borderId="19"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19" fillId="0" borderId="19" xfId="0" applyFont="1" applyFill="1" applyBorder="1" applyAlignment="1">
      <alignment horizontal="center" vertical="center" wrapText="1"/>
    </xf>
    <xf numFmtId="0" fontId="17" fillId="0" borderId="13" xfId="0" applyFont="1" applyFill="1" applyBorder="1" applyAlignment="1">
      <alignment horizontal="center" vertical="center" wrapText="1"/>
    </xf>
    <xf numFmtId="0" fontId="17" fillId="0" borderId="12" xfId="0" applyFont="1" applyFill="1" applyBorder="1" applyAlignment="1">
      <alignment horizontal="center" vertical="center"/>
    </xf>
    <xf numFmtId="0" fontId="17" fillId="0" borderId="13" xfId="0" applyFont="1" applyFill="1" applyBorder="1" applyAlignment="1">
      <alignment vertical="center"/>
    </xf>
    <xf numFmtId="0" fontId="19" fillId="0" borderId="19" xfId="0" applyFont="1" applyFill="1" applyBorder="1" applyAlignment="1">
      <alignment vertical="center" wrapText="1"/>
    </xf>
    <xf numFmtId="0" fontId="9" fillId="0" borderId="19" xfId="0" applyFont="1" applyFill="1" applyBorder="1" applyAlignment="1">
      <alignment vertical="center" wrapText="1"/>
    </xf>
    <xf numFmtId="0" fontId="21" fillId="0" borderId="12" xfId="0" applyFont="1" applyFill="1" applyBorder="1" applyAlignment="1">
      <alignment horizontal="center" vertical="center" wrapText="1"/>
    </xf>
    <xf numFmtId="0" fontId="22" fillId="0" borderId="12" xfId="0" applyFont="1" applyFill="1" applyBorder="1" applyAlignment="1">
      <alignment horizontal="left" vertical="center" wrapText="1"/>
    </xf>
    <xf numFmtId="0" fontId="20" fillId="0" borderId="0" xfId="2" applyFont="1" applyFill="1" applyBorder="1" applyAlignment="1">
      <alignment horizontal="center" vertical="center"/>
    </xf>
    <xf numFmtId="0" fontId="21" fillId="0" borderId="0"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3" fillId="0" borderId="12" xfId="0" applyFont="1" applyFill="1" applyBorder="1" applyAlignment="1">
      <alignment horizontal="center" vertical="center" wrapText="1"/>
    </xf>
    <xf numFmtId="0" fontId="0" fillId="0" borderId="12" xfId="0" applyFill="1" applyBorder="1" applyAlignment="1">
      <alignment horizontal="center" vertical="center"/>
    </xf>
    <xf numFmtId="0" fontId="22" fillId="0" borderId="13" xfId="0" applyFont="1" applyFill="1" applyBorder="1" applyAlignment="1">
      <alignment vertical="center"/>
    </xf>
    <xf numFmtId="0" fontId="20" fillId="0" borderId="21" xfId="2" applyFont="1" applyFill="1" applyBorder="1" applyAlignment="1">
      <alignment horizontal="center" vertical="center"/>
    </xf>
    <xf numFmtId="0" fontId="23" fillId="0" borderId="24" xfId="0" applyFont="1" applyFill="1" applyBorder="1" applyAlignment="1">
      <alignment horizontal="center" vertical="center" wrapText="1"/>
    </xf>
    <xf numFmtId="0" fontId="21" fillId="0" borderId="24" xfId="0" applyFont="1" applyFill="1" applyBorder="1" applyAlignment="1">
      <alignment horizontal="center" vertical="center" wrapText="1"/>
    </xf>
    <xf numFmtId="0" fontId="0" fillId="0" borderId="24" xfId="0" applyFont="1" applyFill="1" applyBorder="1" applyAlignment="1">
      <alignment horizontal="center" vertical="center" wrapText="1"/>
    </xf>
    <xf numFmtId="0" fontId="0" fillId="0" borderId="24" xfId="0" applyFill="1" applyBorder="1" applyAlignment="1">
      <alignment horizontal="center" vertical="center"/>
    </xf>
    <xf numFmtId="0" fontId="22" fillId="0" borderId="22" xfId="0" applyFont="1" applyFill="1" applyBorder="1" applyAlignment="1">
      <alignment vertical="center"/>
    </xf>
    <xf numFmtId="0" fontId="23" fillId="0"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0" xfId="0" applyFill="1" applyBorder="1" applyAlignment="1">
      <alignment horizontal="center" vertical="center"/>
    </xf>
    <xf numFmtId="0" fontId="22" fillId="0" borderId="0" xfId="0" applyFont="1" applyFill="1" applyBorder="1" applyAlignment="1">
      <alignment vertical="center"/>
    </xf>
    <xf numFmtId="0" fontId="22" fillId="0" borderId="24" xfId="0" applyFont="1" applyFill="1" applyBorder="1" applyAlignment="1">
      <alignment horizontal="left" vertical="center" wrapText="1"/>
    </xf>
    <xf numFmtId="0" fontId="22" fillId="0" borderId="20" xfId="0" applyFont="1" applyFill="1" applyBorder="1" applyAlignment="1">
      <alignment horizontal="center" vertical="center" wrapText="1"/>
    </xf>
    <xf numFmtId="0" fontId="0" fillId="0" borderId="24" xfId="0" applyFont="1" applyFill="1" applyBorder="1" applyAlignment="1">
      <alignment horizontal="left" vertical="center" wrapText="1"/>
    </xf>
    <xf numFmtId="0" fontId="8" fillId="0" borderId="21" xfId="2" applyFont="1" applyFill="1" applyBorder="1" applyAlignment="1">
      <alignment horizontal="center" vertical="center"/>
    </xf>
    <xf numFmtId="0" fontId="2" fillId="0" borderId="24"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12" xfId="0" applyBorder="1" applyAlignment="1">
      <alignment horizontal="left" wrapText="1"/>
    </xf>
    <xf numFmtId="164" fontId="2" fillId="0" borderId="12" xfId="0" applyNumberFormat="1" applyFont="1" applyBorder="1" applyAlignment="1">
      <alignment horizontal="center" vertical="center"/>
    </xf>
    <xf numFmtId="0" fontId="0" fillId="0" borderId="0" xfId="0" applyFill="1" applyAlignment="1">
      <alignment vertical="center"/>
    </xf>
    <xf numFmtId="0" fontId="0" fillId="0" borderId="0" xfId="0"/>
    <xf numFmtId="0" fontId="0" fillId="0" borderId="0" xfId="0" applyAlignment="1">
      <alignment horizontal="left" vertical="center"/>
    </xf>
    <xf numFmtId="0" fontId="0" fillId="0" borderId="12" xfId="0" applyBorder="1" applyAlignment="1">
      <alignment horizontal="left" vertical="center" wrapText="1"/>
    </xf>
    <xf numFmtId="0" fontId="12" fillId="2" borderId="17" xfId="0" applyFont="1" applyFill="1" applyBorder="1" applyAlignment="1">
      <alignment horizontal="center"/>
    </xf>
    <xf numFmtId="0" fontId="12" fillId="2" borderId="18" xfId="0" applyFont="1" applyFill="1" applyBorder="1" applyAlignment="1">
      <alignment horizontal="center"/>
    </xf>
    <xf numFmtId="0" fontId="12" fillId="2" borderId="19" xfId="0" applyFont="1" applyFill="1" applyBorder="1" applyAlignment="1">
      <alignment horizontal="center" vertical="center" wrapText="1"/>
    </xf>
    <xf numFmtId="0" fontId="12" fillId="2" borderId="19" xfId="0" applyFont="1" applyFill="1" applyBorder="1" applyAlignment="1">
      <alignment horizontal="center"/>
    </xf>
    <xf numFmtId="0" fontId="0" fillId="4" borderId="12" xfId="0" applyFill="1" applyBorder="1"/>
    <xf numFmtId="0" fontId="11" fillId="0" borderId="0" xfId="2" applyFont="1" applyBorder="1" applyAlignment="1">
      <alignment vertical="center"/>
    </xf>
    <xf numFmtId="0" fontId="0" fillId="4" borderId="18" xfId="0" applyFill="1" applyBorder="1"/>
    <xf numFmtId="0" fontId="0" fillId="0" borderId="18" xfId="0" applyBorder="1" applyAlignment="1">
      <alignment horizontal="left"/>
    </xf>
    <xf numFmtId="0" fontId="0" fillId="0" borderId="12" xfId="0" applyBorder="1" applyAlignment="1">
      <alignment wrapText="1"/>
    </xf>
    <xf numFmtId="0" fontId="0" fillId="0" borderId="0" xfId="0" applyFont="1" applyAlignment="1">
      <alignment horizontal="center" vertical="center"/>
    </xf>
    <xf numFmtId="0" fontId="0" fillId="0" borderId="12" xfId="0" applyBorder="1" applyAlignment="1">
      <alignment horizontal="left"/>
    </xf>
    <xf numFmtId="0" fontId="0" fillId="4" borderId="12" xfId="0" applyFill="1" applyBorder="1" applyAlignment="1">
      <alignment wrapText="1"/>
    </xf>
    <xf numFmtId="0" fontId="0" fillId="0" borderId="0" xfId="0"/>
    <xf numFmtId="0" fontId="0" fillId="0" borderId="0" xfId="0" applyAlignment="1">
      <alignment horizontal="left" vertical="center"/>
    </xf>
    <xf numFmtId="0" fontId="0" fillId="0" borderId="12" xfId="0" applyBorder="1" applyAlignment="1">
      <alignment horizontal="left" vertical="center" wrapText="1"/>
    </xf>
    <xf numFmtId="0" fontId="12" fillId="2" borderId="17" xfId="0" applyFont="1" applyFill="1" applyBorder="1" applyAlignment="1">
      <alignment horizontal="center"/>
    </xf>
    <xf numFmtId="0" fontId="12" fillId="2" borderId="18" xfId="0" applyFont="1" applyFill="1" applyBorder="1" applyAlignment="1">
      <alignment horizontal="center"/>
    </xf>
    <xf numFmtId="0" fontId="12" fillId="2" borderId="19" xfId="0" applyFont="1" applyFill="1" applyBorder="1" applyAlignment="1">
      <alignment horizontal="center" vertical="center" wrapText="1"/>
    </xf>
    <xf numFmtId="0" fontId="12" fillId="2" borderId="19" xfId="0" applyFont="1" applyFill="1" applyBorder="1" applyAlignment="1">
      <alignment horizontal="center"/>
    </xf>
    <xf numFmtId="0" fontId="0" fillId="4" borderId="12" xfId="0" applyFill="1" applyBorder="1"/>
    <xf numFmtId="0" fontId="11" fillId="0" borderId="0" xfId="2" applyFont="1" applyBorder="1" applyAlignment="1">
      <alignment vertical="center"/>
    </xf>
    <xf numFmtId="0" fontId="0" fillId="4" borderId="18" xfId="0" applyFill="1" applyBorder="1"/>
    <xf numFmtId="0" fontId="0" fillId="0" borderId="18" xfId="0" applyBorder="1" applyAlignment="1">
      <alignment horizontal="left"/>
    </xf>
    <xf numFmtId="0" fontId="0" fillId="0" borderId="12" xfId="0" applyFont="1" applyFill="1" applyBorder="1" applyAlignment="1">
      <alignment horizontal="center" vertical="center"/>
    </xf>
    <xf numFmtId="0" fontId="0" fillId="0" borderId="12" xfId="0" applyFont="1" applyFill="1" applyBorder="1" applyAlignment="1">
      <alignment horizontal="left" vertical="center" wrapText="1"/>
    </xf>
    <xf numFmtId="0" fontId="2" fillId="0" borderId="12" xfId="0" applyFont="1" applyFill="1" applyBorder="1" applyAlignment="1">
      <alignment horizontal="center" vertical="center" wrapText="1"/>
    </xf>
    <xf numFmtId="0" fontId="0" fillId="0" borderId="0" xfId="0" applyFont="1" applyAlignment="1">
      <alignment horizontal="center" vertical="center"/>
    </xf>
    <xf numFmtId="0" fontId="0" fillId="0" borderId="12" xfId="0" applyBorder="1" applyAlignment="1">
      <alignment horizontal="left"/>
    </xf>
    <xf numFmtId="0" fontId="0" fillId="4" borderId="12" xfId="0" applyFill="1" applyBorder="1" applyAlignment="1">
      <alignment wrapText="1"/>
    </xf>
    <xf numFmtId="0" fontId="2" fillId="0" borderId="12" xfId="0" applyFont="1" applyBorder="1" applyAlignment="1">
      <alignment horizontal="center" vertical="center"/>
    </xf>
    <xf numFmtId="164" fontId="2" fillId="0" borderId="12" xfId="0" applyNumberFormat="1" applyFont="1" applyBorder="1" applyAlignment="1">
      <alignment horizontal="center" vertical="center"/>
    </xf>
    <xf numFmtId="164" fontId="2" fillId="0" borderId="12" xfId="0" applyNumberFormat="1" applyFont="1" applyFill="1" applyBorder="1" applyAlignment="1">
      <alignment horizontal="center" vertical="center" wrapText="1"/>
    </xf>
    <xf numFmtId="164" fontId="2" fillId="0" borderId="12" xfId="0" applyNumberFormat="1" applyFont="1" applyFill="1" applyBorder="1" applyAlignment="1">
      <alignment horizontal="center" vertical="center"/>
    </xf>
    <xf numFmtId="0" fontId="0" fillId="0" borderId="11" xfId="0" applyFill="1" applyBorder="1" applyAlignment="1">
      <alignment horizontal="center" vertical="center"/>
    </xf>
    <xf numFmtId="0" fontId="14" fillId="0" borderId="0" xfId="0" applyFont="1" applyAlignment="1">
      <alignment vertical="center" wrapText="1"/>
    </xf>
    <xf numFmtId="0" fontId="0" fillId="0" borderId="0" xfId="0" applyAlignment="1">
      <alignment vertical="center"/>
    </xf>
    <xf numFmtId="164" fontId="0" fillId="0" borderId="0" xfId="0" applyNumberFormat="1" applyAlignment="1">
      <alignment horizontal="center" vertical="center" wrapText="1"/>
    </xf>
    <xf numFmtId="0" fontId="16" fillId="0" borderId="0" xfId="0" applyFont="1" applyAlignment="1">
      <alignment vertical="center" wrapText="1"/>
    </xf>
    <xf numFmtId="164" fontId="0" fillId="0" borderId="0" xfId="0" applyNumberFormat="1" applyFill="1" applyAlignment="1">
      <alignment horizontal="center" vertical="center" wrapText="1"/>
    </xf>
    <xf numFmtId="0" fontId="25" fillId="0" borderId="0" xfId="0" applyFont="1" applyAlignment="1">
      <alignment vertical="center" wrapText="1"/>
    </xf>
    <xf numFmtId="0" fontId="26" fillId="0" borderId="0" xfId="0" applyFont="1" applyAlignment="1">
      <alignment vertical="center" wrapText="1"/>
    </xf>
    <xf numFmtId="0" fontId="15" fillId="0" borderId="13" xfId="0" applyFont="1" applyFill="1" applyBorder="1" applyAlignment="1">
      <alignment horizontal="center" vertical="center"/>
    </xf>
    <xf numFmtId="0" fontId="0" fillId="0" borderId="19" xfId="0" applyFont="1" applyFill="1" applyBorder="1" applyAlignment="1">
      <alignment horizontal="left" vertical="center" wrapText="1"/>
    </xf>
    <xf numFmtId="0" fontId="13" fillId="0" borderId="12" xfId="0" applyFont="1" applyFill="1" applyBorder="1" applyAlignment="1">
      <alignment horizontal="left" vertical="center" wrapText="1"/>
    </xf>
    <xf numFmtId="164" fontId="13" fillId="0" borderId="12" xfId="0" applyNumberFormat="1" applyFont="1" applyFill="1" applyBorder="1" applyAlignment="1">
      <alignment horizontal="center" vertical="center" wrapText="1"/>
    </xf>
    <xf numFmtId="164" fontId="9" fillId="0" borderId="13" xfId="0" applyNumberFormat="1" applyFont="1" applyFill="1" applyBorder="1" applyAlignment="1">
      <alignment horizontal="center" vertical="center" wrapText="1"/>
    </xf>
    <xf numFmtId="0" fontId="17" fillId="0" borderId="12" xfId="0" applyFont="1" applyFill="1" applyBorder="1" applyAlignment="1">
      <alignment horizontal="left" vertical="center" wrapText="1"/>
    </xf>
    <xf numFmtId="0" fontId="30" fillId="0" borderId="0" xfId="0" applyFont="1" applyAlignment="1">
      <alignment horizontal="center"/>
    </xf>
    <xf numFmtId="0" fontId="30" fillId="0" borderId="25" xfId="0" applyFont="1" applyBorder="1" applyAlignment="1">
      <alignment horizontal="center" vertical="center" wrapText="1"/>
    </xf>
    <xf numFmtId="0" fontId="31" fillId="0" borderId="0" xfId="0" applyFont="1"/>
    <xf numFmtId="0" fontId="32" fillId="0" borderId="17" xfId="2" applyFont="1" applyFill="1" applyBorder="1" applyAlignment="1">
      <alignment horizontal="center" vertical="center"/>
    </xf>
    <xf numFmtId="0" fontId="33" fillId="0" borderId="12" xfId="0" applyFont="1" applyFill="1" applyBorder="1" applyAlignment="1">
      <alignment horizontal="center" vertical="center" wrapText="1"/>
    </xf>
    <xf numFmtId="0" fontId="32" fillId="0" borderId="21" xfId="2" applyFont="1" applyFill="1" applyBorder="1" applyAlignment="1">
      <alignment horizontal="center" vertical="center"/>
    </xf>
    <xf numFmtId="0" fontId="33" fillId="0" borderId="24" xfId="0" applyFont="1" applyFill="1" applyBorder="1" applyAlignment="1">
      <alignment horizontal="center" vertical="center" wrapText="1"/>
    </xf>
    <xf numFmtId="0" fontId="34" fillId="0" borderId="24" xfId="0" applyFont="1" applyFill="1" applyBorder="1" applyAlignment="1">
      <alignment horizontal="left" vertical="center" wrapText="1"/>
    </xf>
    <xf numFmtId="0" fontId="34" fillId="0" borderId="20" xfId="0" applyFont="1" applyFill="1" applyBorder="1" applyAlignment="1">
      <alignment horizontal="center" vertical="center" wrapText="1"/>
    </xf>
    <xf numFmtId="0" fontId="35" fillId="0" borderId="12" xfId="0" applyFont="1" applyFill="1" applyBorder="1" applyAlignment="1">
      <alignment horizontal="center" vertical="center" wrapText="1"/>
    </xf>
    <xf numFmtId="0" fontId="34" fillId="0" borderId="13" xfId="0" applyFont="1" applyFill="1" applyBorder="1" applyAlignment="1">
      <alignment vertical="center"/>
    </xf>
    <xf numFmtId="0" fontId="36" fillId="0" borderId="13" xfId="0" applyFont="1" applyFill="1" applyBorder="1" applyAlignment="1">
      <alignment horizontal="center" vertical="center" wrapText="1"/>
    </xf>
    <xf numFmtId="0" fontId="33" fillId="0" borderId="18" xfId="0" applyFont="1" applyFill="1" applyBorder="1" applyAlignment="1">
      <alignment horizontal="center" vertical="center" wrapText="1"/>
    </xf>
    <xf numFmtId="0" fontId="34" fillId="0" borderId="12" xfId="0" applyFont="1" applyFill="1" applyBorder="1" applyAlignment="1">
      <alignment horizontal="left" vertical="center" wrapText="1"/>
    </xf>
    <xf numFmtId="0" fontId="37" fillId="0" borderId="19" xfId="0" applyFont="1" applyFill="1" applyBorder="1" applyAlignment="1">
      <alignment horizontal="center" vertical="center" wrapText="1"/>
    </xf>
    <xf numFmtId="0" fontId="0" fillId="0" borderId="24" xfId="0" applyFont="1" applyFill="1" applyBorder="1" applyAlignment="1">
      <alignment horizontal="center" vertical="center"/>
    </xf>
    <xf numFmtId="0" fontId="37" fillId="0" borderId="20" xfId="0" applyFont="1" applyFill="1" applyBorder="1" applyAlignment="1">
      <alignment horizontal="center" vertical="center" wrapText="1"/>
    </xf>
    <xf numFmtId="164" fontId="38" fillId="0" borderId="12" xfId="0" applyNumberFormat="1" applyFont="1" applyFill="1" applyBorder="1" applyAlignment="1">
      <alignment horizontal="center" vertical="center" wrapText="1"/>
    </xf>
    <xf numFmtId="0" fontId="38" fillId="0" borderId="12" xfId="0" applyFont="1" applyFill="1" applyBorder="1" applyAlignment="1">
      <alignment horizontal="left" vertical="center" wrapText="1"/>
    </xf>
    <xf numFmtId="164" fontId="38" fillId="0" borderId="13" xfId="0" applyNumberFormat="1" applyFont="1" applyFill="1" applyBorder="1" applyAlignment="1">
      <alignment horizontal="center" vertical="center" wrapText="1"/>
    </xf>
    <xf numFmtId="0" fontId="10" fillId="0" borderId="12" xfId="0" applyFont="1" applyFill="1" applyBorder="1" applyAlignment="1">
      <alignment horizontal="left" vertical="center" wrapText="1"/>
    </xf>
    <xf numFmtId="164" fontId="40" fillId="0" borderId="12" xfId="0" applyNumberFormat="1" applyFont="1" applyFill="1" applyBorder="1" applyAlignment="1">
      <alignment horizontal="center" vertical="center" wrapText="1"/>
    </xf>
    <xf numFmtId="0" fontId="41" fillId="0" borderId="12" xfId="0" applyFont="1" applyFill="1" applyBorder="1" applyAlignment="1">
      <alignment horizontal="left" vertical="center" wrapText="1"/>
    </xf>
    <xf numFmtId="0" fontId="39" fillId="0" borderId="12" xfId="0" applyFont="1" applyFill="1" applyBorder="1" applyAlignment="1">
      <alignment horizontal="left" vertical="center" wrapText="1"/>
    </xf>
    <xf numFmtId="164" fontId="10" fillId="0" borderId="12" xfId="0" applyNumberFormat="1" applyFont="1" applyFill="1" applyBorder="1" applyAlignment="1">
      <alignment horizontal="center" vertical="center" wrapText="1"/>
    </xf>
    <xf numFmtId="164" fontId="0" fillId="0" borderId="12" xfId="0" applyNumberFormat="1" applyFont="1" applyFill="1" applyBorder="1" applyAlignment="1">
      <alignment horizontal="center" vertical="center" wrapText="1"/>
    </xf>
    <xf numFmtId="164" fontId="0" fillId="0" borderId="12" xfId="0" applyNumberFormat="1" applyFont="1" applyFill="1" applyBorder="1" applyAlignment="1">
      <alignment horizontal="center" vertical="center"/>
    </xf>
    <xf numFmtId="164" fontId="2" fillId="0" borderId="0" xfId="0" applyNumberFormat="1" applyFont="1" applyBorder="1" applyAlignment="1">
      <alignment horizontal="center" vertical="center"/>
    </xf>
    <xf numFmtId="0" fontId="2" fillId="0" borderId="12" xfId="0" applyFont="1" applyFill="1" applyBorder="1" applyAlignment="1">
      <alignment horizontal="left" vertical="center" wrapText="1"/>
    </xf>
    <xf numFmtId="0" fontId="43" fillId="0" borderId="12" xfId="0" applyFont="1" applyFill="1" applyBorder="1" applyAlignment="1">
      <alignment horizontal="left" vertical="center" wrapText="1"/>
    </xf>
    <xf numFmtId="0" fontId="42" fillId="0" borderId="12" xfId="0" applyFont="1" applyFill="1" applyBorder="1" applyAlignment="1">
      <alignment horizontal="left" vertical="center" wrapText="1"/>
    </xf>
    <xf numFmtId="0" fontId="0" fillId="0" borderId="12" xfId="0" applyFont="1" applyBorder="1" applyAlignment="1">
      <alignment horizontal="center" vertical="center"/>
    </xf>
    <xf numFmtId="164" fontId="41" fillId="0" borderId="12" xfId="0" applyNumberFormat="1" applyFont="1" applyFill="1" applyBorder="1" applyAlignment="1">
      <alignment horizontal="center" vertical="center" wrapText="1"/>
    </xf>
    <xf numFmtId="0" fontId="17" fillId="0" borderId="0" xfId="14" applyFont="1" applyAlignment="1">
      <alignment vertical="top" wrapText="1"/>
    </xf>
    <xf numFmtId="0" fontId="39" fillId="0" borderId="13" xfId="0" applyFont="1" applyFill="1" applyBorder="1" applyAlignment="1">
      <alignment horizontal="left" vertical="center" wrapText="1"/>
    </xf>
    <xf numFmtId="0" fontId="0" fillId="0" borderId="11" xfId="0" applyFont="1" applyFill="1" applyBorder="1" applyAlignment="1">
      <alignment horizontal="center" vertical="center"/>
    </xf>
    <xf numFmtId="164" fontId="9" fillId="0" borderId="12" xfId="0" applyNumberFormat="1" applyFont="1" applyFill="1" applyBorder="1" applyAlignment="1">
      <alignment horizontal="center" vertical="center" wrapText="1"/>
    </xf>
    <xf numFmtId="164" fontId="0" fillId="0" borderId="0" xfId="0" applyNumberFormat="1" applyAlignment="1">
      <alignment horizontal="center" vertical="center"/>
    </xf>
    <xf numFmtId="0" fontId="0" fillId="0" borderId="13" xfId="0" applyFont="1" applyBorder="1" applyAlignment="1">
      <alignment horizontal="center" vertical="center"/>
    </xf>
    <xf numFmtId="0" fontId="0" fillId="0" borderId="26" xfId="0" applyBorder="1" applyAlignment="1">
      <alignment horizontal="center" vertical="center"/>
    </xf>
    <xf numFmtId="0" fontId="2" fillId="0" borderId="24" xfId="0" applyFont="1" applyBorder="1" applyAlignment="1">
      <alignment horizontal="center" vertical="center"/>
    </xf>
    <xf numFmtId="0" fontId="0" fillId="0" borderId="22" xfId="0" applyFont="1" applyBorder="1" applyAlignment="1">
      <alignment horizontal="center" vertical="center"/>
    </xf>
    <xf numFmtId="0" fontId="2" fillId="0" borderId="22" xfId="0" applyFont="1" applyBorder="1" applyAlignment="1">
      <alignment horizontal="left" vertical="center" wrapText="1"/>
    </xf>
    <xf numFmtId="164" fontId="0" fillId="0" borderId="24" xfId="0" applyNumberFormat="1" applyBorder="1" applyAlignment="1">
      <alignment horizontal="center" vertical="center"/>
    </xf>
    <xf numFmtId="0" fontId="44" fillId="0" borderId="12" xfId="0" applyFont="1" applyFill="1" applyBorder="1" applyAlignment="1">
      <alignment horizontal="left" vertical="center" wrapText="1"/>
    </xf>
    <xf numFmtId="0" fontId="6" fillId="3" borderId="4" xfId="1" applyFont="1" applyFill="1" applyBorder="1" applyAlignment="1">
      <alignment horizontal="center" vertical="center"/>
    </xf>
    <xf numFmtId="0" fontId="6" fillId="3" borderId="0" xfId="1" applyFont="1" applyFill="1" applyBorder="1" applyAlignment="1">
      <alignment horizontal="center" vertical="center"/>
    </xf>
    <xf numFmtId="0" fontId="6" fillId="3" borderId="5" xfId="1" applyFont="1" applyFill="1" applyBorder="1" applyAlignment="1">
      <alignment horizontal="center" vertical="center"/>
    </xf>
    <xf numFmtId="0" fontId="6" fillId="3" borderId="15" xfId="1" applyFont="1" applyFill="1" applyBorder="1" applyAlignment="1">
      <alignment horizontal="center" vertical="center"/>
    </xf>
    <xf numFmtId="0" fontId="6" fillId="3" borderId="14" xfId="1" applyFont="1" applyFill="1" applyBorder="1" applyAlignment="1">
      <alignment horizontal="center" vertical="center"/>
    </xf>
    <xf numFmtId="0" fontId="6" fillId="3" borderId="16" xfId="1" applyFont="1" applyFill="1" applyBorder="1" applyAlignment="1">
      <alignment horizontal="center" vertical="center"/>
    </xf>
    <xf numFmtId="0" fontId="27" fillId="0" borderId="1" xfId="0" applyFont="1" applyBorder="1" applyAlignment="1" applyProtection="1">
      <alignment horizontal="center" vertical="center"/>
    </xf>
    <xf numFmtId="0" fontId="2" fillId="0" borderId="2" xfId="0" applyFont="1" applyBorder="1" applyAlignment="1" applyProtection="1">
      <alignment horizontal="center" vertical="center"/>
    </xf>
    <xf numFmtId="0" fontId="2" fillId="0" borderId="4" xfId="0" applyFont="1" applyBorder="1" applyAlignment="1" applyProtection="1">
      <alignment horizontal="center" vertical="center"/>
    </xf>
    <xf numFmtId="0" fontId="2" fillId="0" borderId="5" xfId="0" applyFont="1" applyBorder="1" applyAlignment="1" applyProtection="1">
      <alignment horizontal="center" vertical="center"/>
    </xf>
    <xf numFmtId="0" fontId="2" fillId="0" borderId="7" xfId="0" applyFont="1" applyBorder="1" applyAlignment="1" applyProtection="1">
      <alignment horizontal="center" vertical="center"/>
    </xf>
    <xf numFmtId="0" fontId="2" fillId="0" borderId="8" xfId="0" applyFont="1" applyBorder="1" applyAlignment="1" applyProtection="1">
      <alignment horizontal="center" vertical="center"/>
    </xf>
    <xf numFmtId="0" fontId="29" fillId="0" borderId="1" xfId="0" applyFont="1" applyBorder="1" applyAlignment="1" applyProtection="1">
      <alignment horizontal="center" vertical="center" wrapText="1"/>
    </xf>
    <xf numFmtId="0" fontId="29" fillId="0" borderId="2" xfId="0" applyFont="1" applyBorder="1" applyAlignment="1" applyProtection="1">
      <alignment horizontal="center" vertical="center" wrapText="1"/>
    </xf>
    <xf numFmtId="0" fontId="29" fillId="0" borderId="4" xfId="0" applyFont="1" applyBorder="1" applyAlignment="1" applyProtection="1">
      <alignment horizontal="center" vertical="center" wrapText="1"/>
    </xf>
    <xf numFmtId="0" fontId="29" fillId="0" borderId="5" xfId="0" applyFont="1" applyBorder="1" applyAlignment="1" applyProtection="1">
      <alignment horizontal="center" vertical="center" wrapText="1"/>
    </xf>
    <xf numFmtId="0" fontId="29" fillId="0" borderId="7" xfId="0" applyFont="1" applyBorder="1" applyAlignment="1" applyProtection="1">
      <alignment horizontal="center" vertical="center" wrapText="1"/>
    </xf>
    <xf numFmtId="0" fontId="29" fillId="0" borderId="8" xfId="0" applyFont="1" applyBorder="1" applyAlignment="1" applyProtection="1">
      <alignment horizontal="center" vertical="center" wrapText="1"/>
    </xf>
    <xf numFmtId="0" fontId="0" fillId="0" borderId="3" xfId="0" applyBorder="1" applyAlignment="1" applyProtection="1">
      <alignment horizontal="center"/>
    </xf>
    <xf numFmtId="0" fontId="0" fillId="0" borderId="6" xfId="0" applyBorder="1" applyAlignment="1" applyProtection="1">
      <alignment horizontal="center"/>
    </xf>
    <xf numFmtId="0" fontId="0" fillId="0" borderId="9" xfId="0" applyBorder="1" applyAlignment="1" applyProtection="1">
      <alignment horizontal="center"/>
    </xf>
    <xf numFmtId="0" fontId="0" fillId="0" borderId="3" xfId="0" applyFont="1" applyBorder="1" applyAlignment="1" applyProtection="1">
      <alignment horizontal="center"/>
    </xf>
    <xf numFmtId="0" fontId="0" fillId="0" borderId="6" xfId="0" applyFont="1" applyBorder="1" applyAlignment="1" applyProtection="1">
      <alignment horizontal="center"/>
    </xf>
    <xf numFmtId="0" fontId="0" fillId="0" borderId="9" xfId="0" applyFont="1" applyBorder="1" applyAlignment="1" applyProtection="1">
      <alignment horizontal="center"/>
    </xf>
    <xf numFmtId="0" fontId="11" fillId="0" borderId="12" xfId="2" applyFont="1" applyBorder="1" applyAlignment="1">
      <alignment horizontal="center" vertical="center"/>
    </xf>
    <xf numFmtId="0" fontId="11" fillId="0" borderId="13" xfId="2" applyFont="1" applyBorder="1" applyAlignment="1">
      <alignment horizontal="center" vertical="center"/>
    </xf>
    <xf numFmtId="0" fontId="11" fillId="0" borderId="11" xfId="2" applyFont="1" applyBorder="1" applyAlignment="1">
      <alignment horizontal="center" vertical="center"/>
    </xf>
  </cellXfs>
  <cellStyles count="1264">
    <cellStyle name="Followed Hyperlink" xfId="16"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1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67"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19"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258"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18"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45"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4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691"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643"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882"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642"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169"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Hyperlink" xfId="2" builtinId="8"/>
    <cellStyle name="Hyperlink 2" xfId="3" xr:uid="{00000000-0005-0000-0000-0000E1040000}"/>
    <cellStyle name="Hyperlink 3" xfId="1" xr:uid="{00000000-0005-0000-0000-0000E2040000}"/>
    <cellStyle name="Normal" xfId="0" builtinId="0"/>
    <cellStyle name="Normal 2" xfId="4" xr:uid="{00000000-0005-0000-0000-0000E4040000}"/>
    <cellStyle name="Normal 2 2" xfId="5" xr:uid="{00000000-0005-0000-0000-0000E5040000}"/>
    <cellStyle name="Normal 2 3" xfId="6" xr:uid="{00000000-0005-0000-0000-0000E6040000}"/>
    <cellStyle name="Normal 2 4" xfId="7" xr:uid="{00000000-0005-0000-0000-0000E7040000}"/>
    <cellStyle name="Normal 3" xfId="8" xr:uid="{00000000-0005-0000-0000-0000E8040000}"/>
    <cellStyle name="Normal 3 2" xfId="9" xr:uid="{00000000-0005-0000-0000-0000E9040000}"/>
    <cellStyle name="Normal 3 3" xfId="10" xr:uid="{00000000-0005-0000-0000-0000EA040000}"/>
    <cellStyle name="Normal 4" xfId="11" xr:uid="{00000000-0005-0000-0000-0000EB040000}"/>
    <cellStyle name="Normal 5" xfId="12" xr:uid="{00000000-0005-0000-0000-0000EC040000}"/>
    <cellStyle name="Normal 6" xfId="13" xr:uid="{00000000-0005-0000-0000-0000ED040000}"/>
    <cellStyle name="Normal 7" xfId="14" xr:uid="{00000000-0005-0000-0000-0000EE040000}"/>
    <cellStyle name="Normal 8" xfId="15" xr:uid="{00000000-0005-0000-0000-0000EF040000}"/>
  </cellStyles>
  <dxfs count="6746">
    <dxf>
      <alignment horizontal="general" vertical="center" textRotation="0" wrapText="0" indent="0" justifyLastLine="0" shrinkToFit="0" readingOrder="0"/>
    </dxf>
    <dxf>
      <font>
        <strike val="0"/>
        <outline val="0"/>
        <shadow val="0"/>
        <u val="none"/>
        <vertAlign val="baseline"/>
        <sz val="8"/>
        <color theme="1"/>
        <name val="Calibri"/>
        <scheme val="minor"/>
      </font>
      <alignment horizontal="general" vertical="center" textRotation="0" wrapText="1" indent="0" justifyLastLine="0" shrinkToFit="0" readingOrder="0"/>
    </dxf>
    <dxf>
      <font>
        <strike val="0"/>
        <outline val="0"/>
        <shadow val="0"/>
        <u val="none"/>
        <vertAlign val="baseline"/>
        <sz val="6"/>
        <color theme="1"/>
        <name val="Calibri"/>
        <scheme val="minor"/>
      </font>
      <alignment horizontal="general" vertical="center" textRotation="0" wrapText="1" indent="0" justifyLastLine="0" shrinkToFit="0" readingOrder="0"/>
    </dxf>
    <dxf>
      <numFmt numFmtId="164" formatCode="0000"/>
      <alignment horizontal="center" vertical="center" textRotation="0" wrapText="1" indent="0" justifyLastLine="0" shrinkToFit="0" readingOrder="0"/>
    </dxf>
    <dxf>
      <alignment horizontal="center" vertical="bottom" textRotation="0" wrapText="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font>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color rgb="FF006100"/>
      </font>
      <fill>
        <patternFill>
          <bgColor rgb="FFC6EFCE"/>
        </patternFill>
      </fill>
    </dxf>
    <dxf>
      <font>
        <color rgb="FF9C0006"/>
      </font>
      <fill>
        <patternFill>
          <bgColor rgb="FFFFC7CE"/>
        </patternFill>
      </fill>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theme="9" tint="-0.24994659260841701"/>
      </font>
      <fill>
        <patternFill>
          <bgColor theme="9" tint="0.59996337778862885"/>
        </patternFill>
      </fill>
    </dxf>
    <dxf>
      <font>
        <b/>
        <i val="0"/>
      </font>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color rgb="FF006100"/>
      </font>
      <fill>
        <patternFill>
          <bgColor rgb="FFC6EFCE"/>
        </patternFill>
      </fill>
    </dxf>
    <dxf>
      <font>
        <color rgb="FF9C0006"/>
      </font>
      <fill>
        <patternFill>
          <bgColor rgb="FFFFC7CE"/>
        </patternFill>
      </fill>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color rgb="FFFF000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color rgb="FFFF000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color rgb="FFFF0000"/>
      </font>
    </dxf>
    <dxf>
      <font>
        <b/>
        <i val="0"/>
        <color rgb="FFFF0000"/>
      </font>
    </dxf>
    <dxf>
      <font>
        <b/>
        <i val="0"/>
        <color rgb="FFFF0000"/>
      </font>
    </dxf>
    <dxf>
      <font>
        <b/>
        <i val="0"/>
        <color rgb="FFFF0000"/>
      </font>
    </dxf>
    <dxf>
      <font>
        <b/>
        <i val="0"/>
      </font>
    </dxf>
    <dxf>
      <font>
        <b/>
        <i val="0"/>
        <color rgb="FFFF0000"/>
      </font>
    </dxf>
    <dxf>
      <font>
        <b/>
        <i val="0"/>
        <color rgb="FFFF0000"/>
      </font>
    </dxf>
    <dxf>
      <font>
        <b/>
        <i val="0"/>
      </font>
    </dxf>
    <dxf>
      <font>
        <b/>
        <i val="0"/>
      </font>
    </dxf>
    <dxf>
      <font>
        <b/>
        <i val="0"/>
        <color rgb="FFFF000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b/>
        <i val="0"/>
      </font>
    </dxf>
    <dxf>
      <font>
        <b/>
        <i val="0"/>
        <color rgb="FFFF000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font>
    </dxf>
    <dxf>
      <font>
        <b/>
        <i val="0"/>
        <color rgb="FFFF000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color rgb="FF006100"/>
      </font>
      <fill>
        <patternFill>
          <bgColor rgb="FFC6EFCE"/>
        </patternFill>
      </fill>
    </dxf>
    <dxf>
      <font>
        <color rgb="FF9C0006"/>
      </font>
      <fill>
        <patternFill>
          <bgColor rgb="FFFFC7CE"/>
        </patternFill>
      </fill>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font>
    </dxf>
    <dxf>
      <font>
        <b/>
        <i val="0"/>
        <color rgb="FFFF000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font>
    </dxf>
    <dxf>
      <font>
        <b/>
        <i val="0"/>
        <color rgb="FFFF000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font>
    </dxf>
    <dxf>
      <font>
        <b/>
        <i val="0"/>
        <color rgb="FFFF000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color rgb="FF006100"/>
      </font>
      <fill>
        <patternFill>
          <bgColor rgb="FFC6EFCE"/>
        </patternFill>
      </fill>
    </dxf>
    <dxf>
      <font>
        <color rgb="FF9C0006"/>
      </font>
      <fill>
        <patternFill>
          <bgColor rgb="FFFFC7CE"/>
        </patternFill>
      </fill>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font>
    </dxf>
    <dxf>
      <font>
        <b/>
        <i val="0"/>
        <color rgb="FFFF000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font>
    </dxf>
    <dxf>
      <font>
        <b/>
        <i val="0"/>
        <color rgb="FFFF000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font>
    </dxf>
    <dxf>
      <font>
        <b/>
        <i val="0"/>
        <color rgb="FFFF000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color rgb="FFFF0000"/>
      </font>
    </dxf>
    <dxf>
      <font>
        <b/>
        <i val="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rgb="FF006100"/>
      </font>
      <fill>
        <patternFill>
          <bgColor rgb="FFC6EFCE"/>
        </patternFill>
      </fill>
    </dxf>
    <dxf>
      <font>
        <color rgb="FF9C0006"/>
      </font>
      <fill>
        <patternFill>
          <bgColor rgb="FFFFC7CE"/>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theme="9" tint="-0.24994659260841701"/>
      </font>
      <fill>
        <patternFill>
          <bgColor theme="9" tint="0.59996337778862885"/>
        </patternFill>
      </fill>
    </dxf>
    <dxf>
      <font>
        <b/>
        <i val="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font>
    </dxf>
    <dxf>
      <font>
        <b/>
        <i val="0"/>
        <color rgb="FFFF000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b/>
        <i val="0"/>
        <color rgb="FFFF0000"/>
      </font>
    </dxf>
    <dxf>
      <font>
        <b/>
        <i val="0"/>
        <color rgb="FFFF0000"/>
      </font>
    </dxf>
    <dxf>
      <font>
        <b/>
        <i val="0"/>
      </font>
    </dxf>
    <dxf>
      <font>
        <color rgb="FF9C0006"/>
      </font>
      <fill>
        <patternFill>
          <bgColor rgb="FFFFC7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b/>
        <i val="0"/>
        <color rgb="FFFF0000"/>
      </font>
    </dxf>
    <dxf>
      <font>
        <b/>
        <i val="0"/>
        <color rgb="FFFF0000"/>
      </font>
    </dxf>
    <dxf>
      <font>
        <b/>
        <i val="0"/>
      </font>
    </dxf>
    <dxf>
      <font>
        <color rgb="FF9C0006"/>
      </font>
      <fill>
        <patternFill>
          <bgColor rgb="FFFFC7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b/>
        <i val="0"/>
        <color rgb="FFFF0000"/>
      </font>
    </dxf>
    <dxf>
      <font>
        <b/>
        <i val="0"/>
        <color rgb="FFFF0000"/>
      </font>
    </dxf>
    <dxf>
      <font>
        <b/>
        <i val="0"/>
      </font>
    </dxf>
    <dxf>
      <font>
        <color rgb="FF9C0006"/>
      </font>
      <fill>
        <patternFill>
          <bgColor rgb="FFFFC7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font>
    </dxf>
    <dxf>
      <font>
        <b/>
        <i val="0"/>
        <color rgb="FFFF000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font>
    </dxf>
    <dxf>
      <font>
        <b/>
        <i val="0"/>
        <color rgb="FFFF000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font>
    </dxf>
    <dxf>
      <font>
        <b/>
        <i val="0"/>
        <color rgb="FFFF000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color rgb="FF006100"/>
      </font>
      <fill>
        <patternFill>
          <bgColor rgb="FFC6EFCE"/>
        </patternFill>
      </fill>
    </dxf>
    <dxf>
      <font>
        <color rgb="FF9C0006"/>
      </font>
      <fill>
        <patternFill>
          <bgColor rgb="FFFFC7CE"/>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color rgb="FF006100"/>
      </font>
      <fill>
        <patternFill>
          <bgColor rgb="FFC6EFCE"/>
        </patternFill>
      </fill>
    </dxf>
    <dxf>
      <font>
        <color rgb="FF9C0006"/>
      </font>
      <fill>
        <patternFill>
          <bgColor rgb="FFFFC7CE"/>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color rgb="FF006100"/>
      </font>
      <fill>
        <patternFill>
          <bgColor rgb="FFC6EFCE"/>
        </patternFill>
      </fill>
    </dxf>
    <dxf>
      <font>
        <color rgb="FF9C0006"/>
      </font>
      <fill>
        <patternFill>
          <bgColor rgb="FFFFC7CE"/>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color rgb="FF006100"/>
      </font>
      <fill>
        <patternFill>
          <bgColor rgb="FFC6EFCE"/>
        </patternFill>
      </fill>
    </dxf>
    <dxf>
      <font>
        <color rgb="FF9C0006"/>
      </font>
      <fill>
        <patternFill>
          <bgColor rgb="FFFFC7CE"/>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color rgb="FF006100"/>
      </font>
      <fill>
        <patternFill>
          <bgColor rgb="FFC6EFCE"/>
        </patternFill>
      </fill>
    </dxf>
    <dxf>
      <font>
        <color rgb="FF9C0006"/>
      </font>
      <fill>
        <patternFill>
          <bgColor rgb="FFFFC7CE"/>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dxf>
    <dxf>
      <font>
        <b/>
        <i val="0"/>
        <color rgb="FFFF0000"/>
      </font>
    </dxf>
    <dxf>
      <font>
        <b/>
        <i val="0"/>
        <color rgb="FFFF0000"/>
      </font>
    </dxf>
    <dxf>
      <font>
        <b/>
        <i val="0"/>
      </font>
    </dxf>
    <dxf>
      <font>
        <b/>
        <i val="0"/>
        <color rgb="FFFF0000"/>
      </font>
    </dxf>
    <dxf>
      <font>
        <b/>
        <i val="0"/>
      </font>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dxf>
    <dxf>
      <font>
        <b/>
        <i val="0"/>
        <color rgb="FFFF000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dxf>
    <dxf>
      <font>
        <b/>
        <i val="0"/>
        <color rgb="FFFF000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dxf>
    <dxf>
      <font>
        <b/>
        <i val="0"/>
        <color rgb="FFFF0000"/>
      </font>
    </dxf>
    <dxf>
      <font>
        <b/>
        <i val="0"/>
      </font>
    </dxf>
    <dxf>
      <font>
        <b/>
        <i val="0"/>
        <color rgb="FFFF000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color rgb="FFFF000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color theme="9" tint="-0.24994659260841701"/>
      </font>
      <fill>
        <patternFill>
          <bgColor theme="9" tint="0.59996337778862885"/>
        </patternFill>
      </fill>
    </dxf>
    <dxf>
      <font>
        <strike val="0"/>
        <outline val="0"/>
        <shadow val="0"/>
        <vertAlign val="baseline"/>
        <name val="Calibri"/>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bottom style="thin">
          <color indexed="64"/>
        </bottom>
        <vertical/>
        <horizontal/>
      </border>
    </dxf>
    <dxf>
      <font>
        <b val="0"/>
        <i/>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center" textRotation="0" wrapText="0" indent="0" justifyLastLine="0" shrinkToFit="0" readingOrder="0"/>
      <border diagonalUp="0" diagonalDown="0" outline="0">
        <left style="thin">
          <color indexed="64"/>
        </left>
        <right/>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ertAlign val="baseline"/>
        <sz val="16"/>
        <color theme="10"/>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ertAlign val="baseline"/>
        <sz val="16"/>
        <color theme="10"/>
        <name val="Calibri"/>
        <scheme val="minor"/>
      </font>
      <fill>
        <patternFill patternType="solid">
          <fgColor theme="0" tint="-0.14999847407452621"/>
          <bgColor theme="0" tint="-0.14999847407452621"/>
        </patternFill>
      </fill>
      <alignment horizontal="center" vertical="center" textRotation="0" wrapText="0" indent="0" justifyLastLine="0" shrinkToFit="0" readingOrder="0"/>
      <border diagonalUp="0" diagonalDown="0" outline="0">
        <left/>
        <right style="thin">
          <color indexed="64"/>
        </right>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bgColor auto="1"/>
        </patternFill>
      </fill>
    </dxf>
    <dxf>
      <border outline="0">
        <bottom style="thin">
          <color indexed="64"/>
        </bottom>
      </border>
    </dxf>
    <dxf>
      <fill>
        <patternFill patternType="none">
          <bgColor auto="1"/>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vertAlign val="baseline"/>
        <name val="Calibri"/>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outline="0">
        <left style="thin">
          <color indexed="64"/>
        </left>
        <right/>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bottom style="thin">
          <color indexed="64"/>
        </bottom>
      </border>
    </dxf>
    <dxf>
      <font>
        <i val="0"/>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16"/>
        <color theme="10"/>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ertAlign val="baseline"/>
        <sz val="16"/>
        <color theme="10"/>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ill>
        <patternFill patternType="none">
          <fgColor indexed="64"/>
          <bgColor auto="1"/>
        </patternFill>
      </fill>
      <border diagonalUp="0" diagonalDown="0" outline="0">
        <left style="thin">
          <color indexed="64"/>
        </left>
        <right style="thin">
          <color indexed="64"/>
        </right>
        <top/>
        <bottom/>
      </border>
    </dxf>
    <dxf>
      <font>
        <strike val="0"/>
        <outline val="0"/>
        <shadow val="0"/>
        <u val="none"/>
        <vertAlign val="baseline"/>
        <sz val="11"/>
        <color auto="1"/>
        <name val="Calibri"/>
        <scheme val="minor"/>
      </font>
      <alignment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font>
      <fill>
        <patternFill patternType="none">
          <fgColor indexed="64"/>
          <bgColor auto="1"/>
        </patternFill>
      </fill>
      <border diagonalUp="0" diagonalDown="0" outline="0">
        <left/>
        <right/>
        <top style="thin">
          <color indexed="64"/>
        </top>
        <bottom style="thin">
          <color indexed="64"/>
        </bottom>
      </border>
    </dxf>
    <dxf>
      <font>
        <b/>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16"/>
        <color theme="10"/>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strike val="0"/>
        <outline val="0"/>
        <shadow val="0"/>
        <vertAlign val="baseline"/>
        <color rgb="FF00B050"/>
        <name val="Calibri"/>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bottom style="thin">
          <color indexed="64"/>
        </bottom>
        <vertical/>
        <horizontal/>
      </border>
    </dxf>
    <dxf>
      <font>
        <b val="0"/>
        <i/>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center" textRotation="0" wrapText="0" indent="0" justifyLastLine="0" shrinkToFit="0" readingOrder="0"/>
      <border diagonalUp="0" diagonalDown="0" outline="0">
        <left style="thin">
          <color indexed="64"/>
        </left>
        <right/>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ertAlign val="baseline"/>
        <sz val="16"/>
        <color theme="10"/>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ertAlign val="baseline"/>
        <sz val="16"/>
        <color theme="10"/>
        <name val="Calibri"/>
        <scheme val="minor"/>
      </font>
      <fill>
        <patternFill patternType="solid">
          <fgColor theme="0" tint="-0.14999847407452621"/>
          <bgColor theme="0" tint="-0.14999847407452621"/>
        </patternFill>
      </fill>
      <alignment horizontal="center" vertical="center" textRotation="0" wrapText="0" indent="0" justifyLastLine="0" shrinkToFit="0" readingOrder="0"/>
      <border diagonalUp="0" diagonalDown="0" outline="0">
        <left/>
        <right style="thin">
          <color indexed="64"/>
        </right>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bgColor auto="1"/>
        </patternFill>
      </fill>
    </dxf>
    <dxf>
      <border outline="0">
        <bottom style="thin">
          <color indexed="64"/>
        </bottom>
      </border>
    </dxf>
    <dxf>
      <fill>
        <patternFill patternType="none">
          <bgColor auto="1"/>
        </patternFill>
      </fill>
      <border diagonalUp="0" diagonalDown="0">
        <left style="thin">
          <color indexed="64"/>
        </left>
        <right style="thin">
          <color indexed="64"/>
        </right>
        <top/>
        <bottom/>
        <vertical style="thin">
          <color indexed="64"/>
        </vertical>
        <horizontal style="thin">
          <color indexed="64"/>
        </horizontal>
      </border>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externalLink" Target="externalLinks/externalLink1.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externalLink" Target="externalLinks/externalLink2.xml"/><Relationship Id="rId13" Type="http://schemas.openxmlformats.org/officeDocument/2006/relationships/worksheet" Target="worksheets/sheet13.xml"/><Relationship Id="rId109" Type="http://schemas.openxmlformats.org/officeDocument/2006/relationships/worksheet" Target="worksheets/sheet109.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styles" Target="styles.xml"/><Relationship Id="rId190" Type="http://schemas.openxmlformats.org/officeDocument/2006/relationships/worksheet" Target="worksheets/sheet190.xml"/><Relationship Id="rId204" Type="http://schemas.openxmlformats.org/officeDocument/2006/relationships/worksheet" Target="worksheets/sheet204.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sharedStrings" Target="sharedStrings.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calcChain" Target="calcChain.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18" Type="http://schemas.openxmlformats.org/officeDocument/2006/relationships/worksheet" Target="worksheets/sheet18.xml"/><Relationship Id="rId39" Type="http://schemas.openxmlformats.org/officeDocument/2006/relationships/worksheet" Target="worksheets/sheet39.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620059</xdr:colOff>
      <xdr:row>0</xdr:row>
      <xdr:rowOff>22412</xdr:rowOff>
    </xdr:from>
    <xdr:to>
      <xdr:col>5</xdr:col>
      <xdr:colOff>2873790</xdr:colOff>
      <xdr:row>2</xdr:row>
      <xdr:rowOff>205962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1131177" y="22412"/>
          <a:ext cx="2248016" cy="685835"/>
        </a:xfrm>
        <a:prstGeom prst="rect">
          <a:avLst/>
        </a:prstGeom>
      </xdr:spPr>
    </xdr:pic>
    <xdr:clientData/>
  </xdr:twoCellAnchor>
  <xdr:twoCellAnchor editAs="oneCell">
    <xdr:from>
      <xdr:col>0</xdr:col>
      <xdr:colOff>350520</xdr:colOff>
      <xdr:row>0</xdr:row>
      <xdr:rowOff>167640</xdr:rowOff>
    </xdr:from>
    <xdr:to>
      <xdr:col>1</xdr:col>
      <xdr:colOff>975360</xdr:colOff>
      <xdr:row>2</xdr:row>
      <xdr:rowOff>274320</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9091" t="21111" r="5627" b="14445"/>
        <a:stretch/>
      </xdr:blipFill>
      <xdr:spPr bwMode="auto">
        <a:xfrm>
          <a:off x="350520" y="167640"/>
          <a:ext cx="1546860" cy="609600"/>
        </a:xfrm>
        <a:prstGeom prst="rect">
          <a:avLst/>
        </a:prstGeom>
        <a:noFill/>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ckp/AppData/Local/Microsoft/Windows/Temporary%20Internet%20Files/Content.Outlook/VYN4AVK5/GECU%20System%20Test%20Case%20Overview%20v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eannah/Wyndham%20Testing/Wyndham%20Destinations_TestCaseOverview_V3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 Overview"/>
      <sheetName val="MT01"/>
      <sheetName val="MT02"/>
      <sheetName val="MT03"/>
      <sheetName val="MT04"/>
      <sheetName val="MT05"/>
      <sheetName val="MT06"/>
      <sheetName val="MT07"/>
      <sheetName val="MT08"/>
      <sheetName val="MT09"/>
      <sheetName val="MT10"/>
      <sheetName val="MT11"/>
      <sheetName val="MT12"/>
      <sheetName val="MT13"/>
      <sheetName val="MT14"/>
      <sheetName val="MT15"/>
      <sheetName val="MT16"/>
      <sheetName val="MT17"/>
      <sheetName val="MT18"/>
      <sheetName val="MT19"/>
      <sheetName val="MT20"/>
      <sheetName val="MT21"/>
      <sheetName val="MT22"/>
      <sheetName val="MT23"/>
      <sheetName val="MT24"/>
      <sheetName val="MT25"/>
      <sheetName val="MT26"/>
      <sheetName val="MT27"/>
      <sheetName val="MT28"/>
      <sheetName val="MT29"/>
      <sheetName val="MT30"/>
      <sheetName val="MT31"/>
      <sheetName val="MT32"/>
      <sheetName val="MT33"/>
      <sheetName val="MT34"/>
      <sheetName val="MT35"/>
      <sheetName val="MT36"/>
      <sheetName val="MT37"/>
      <sheetName val="MT38"/>
      <sheetName val="MT39"/>
      <sheetName val="MT40"/>
      <sheetName val="MT41"/>
      <sheetName val="MT42"/>
      <sheetName val="MT43"/>
      <sheetName val="MT44"/>
      <sheetName val="MT45"/>
      <sheetName val="MT46"/>
      <sheetName val="MT47"/>
      <sheetName val="MT48"/>
      <sheetName val="MT49"/>
      <sheetName val="MT50"/>
      <sheetName val="MT51"/>
      <sheetName val="MT52"/>
      <sheetName val="MT53"/>
      <sheetName val="MT54"/>
      <sheetName val="MT55"/>
      <sheetName val="MT56"/>
      <sheetName val="MT57"/>
      <sheetName val="MT58"/>
      <sheetName val="MT59"/>
      <sheetName val="MT60"/>
      <sheetName val="MT61"/>
      <sheetName val="MT62"/>
      <sheetName val="MT63"/>
      <sheetName val="MT64"/>
      <sheetName val="MT65"/>
      <sheetName val="MT66"/>
      <sheetName val="MT67"/>
      <sheetName val="MT68"/>
      <sheetName val="MT69"/>
      <sheetName val="CK01"/>
      <sheetName val="CK02"/>
      <sheetName val="CK03"/>
      <sheetName val="CK04"/>
      <sheetName val="CK05"/>
      <sheetName val="CK06"/>
      <sheetName val="CK07"/>
      <sheetName val="CK08"/>
      <sheetName val="CK09"/>
      <sheetName val="CK13"/>
      <sheetName val="CK18"/>
      <sheetName val="CK20"/>
      <sheetName val="CK21"/>
      <sheetName val="CK22"/>
      <sheetName val="CK23"/>
      <sheetName val="CK30"/>
      <sheetName val="CK32"/>
      <sheetName val="CK33"/>
      <sheetName val="CK34"/>
      <sheetName val="CK42"/>
      <sheetName val="CK44"/>
      <sheetName val="CK46"/>
      <sheetName val="CK47"/>
      <sheetName val="CK48"/>
      <sheetName val="CK49"/>
      <sheetName val="CK55"/>
      <sheetName val="CK56"/>
      <sheetName val="CK57"/>
      <sheetName val="CK58"/>
      <sheetName val="CK59"/>
      <sheetName val="CK60"/>
      <sheetName val="CK61"/>
      <sheetName val="CK62"/>
      <sheetName val="CK63"/>
      <sheetName val="CK64"/>
      <sheetName val="CK65"/>
      <sheetName val="CK66"/>
      <sheetName val="CK67"/>
      <sheetName val="CK68"/>
      <sheetName val="CK69"/>
      <sheetName val="CK70"/>
      <sheetName val="CK71"/>
      <sheetName val="CK72"/>
      <sheetName val="CK73"/>
      <sheetName val="CK74"/>
      <sheetName val="CK75"/>
      <sheetName val="CK76"/>
      <sheetName val="CK77"/>
      <sheetName val="CK78"/>
      <sheetName val="CK79"/>
      <sheetName val="CK80"/>
      <sheetName val="CK81"/>
      <sheetName val="CK82"/>
      <sheetName val="CK83"/>
      <sheetName val="CK84"/>
      <sheetName val="CK85"/>
      <sheetName val="CK86"/>
      <sheetName val="CK87"/>
      <sheetName val="CK88"/>
      <sheetName val="CK89"/>
      <sheetName val="CK90"/>
      <sheetName val="CK91"/>
      <sheetName val="CK92"/>
      <sheetName val="CK93"/>
      <sheetName val="CK94"/>
      <sheetName val="CK95"/>
      <sheetName val="CK96"/>
      <sheetName val="CK97"/>
      <sheetName val="CK98"/>
      <sheetName val="CK99"/>
      <sheetName val="CK100"/>
      <sheetName val="CK101"/>
      <sheetName val="CC01"/>
      <sheetName val="CC02"/>
      <sheetName val="CC03"/>
      <sheetName val="CC04"/>
      <sheetName val="CC05"/>
      <sheetName val="CC06"/>
      <sheetName val="CC07"/>
      <sheetName val="CC08"/>
      <sheetName val="CC09"/>
      <sheetName val="CC10"/>
      <sheetName val="CC11"/>
      <sheetName val="CC12"/>
      <sheetName val="CC13"/>
      <sheetName val="CC14"/>
      <sheetName val="CD01"/>
      <sheetName val="CD02"/>
      <sheetName val="CD03"/>
      <sheetName val="CD04"/>
      <sheetName val="LN01"/>
      <sheetName val="LN02"/>
      <sheetName val="LN03"/>
      <sheetName val="LN04"/>
      <sheetName val="LN05"/>
      <sheetName val="LN06"/>
      <sheetName val="LN07"/>
      <sheetName val="LN08"/>
      <sheetName val="LN09"/>
      <sheetName val="LN10"/>
      <sheetName val="LN11"/>
      <sheetName val="LN12"/>
      <sheetName val="LN13"/>
      <sheetName val="LN14"/>
      <sheetName val="LN15"/>
      <sheetName val="LN16"/>
      <sheetName val="LN17"/>
      <sheetName val="LN18"/>
      <sheetName val="LN19"/>
      <sheetName val="LN20"/>
      <sheetName val="LN21"/>
      <sheetName val="LN22"/>
      <sheetName val="LN23"/>
      <sheetName val="LN24"/>
      <sheetName val="LN25"/>
      <sheetName val="LN26"/>
      <sheetName val="LN27"/>
      <sheetName val="LN28"/>
      <sheetName val="LN29"/>
      <sheetName val="LN30"/>
      <sheetName val="LN31"/>
      <sheetName val="LN32"/>
      <sheetName val="SV01"/>
      <sheetName val="SV02"/>
      <sheetName val="SV03"/>
      <sheetName val="SV04"/>
      <sheetName val="SV05"/>
      <sheetName val="SV11"/>
      <sheetName val="SV12"/>
      <sheetName val="SV13"/>
      <sheetName val="SV14"/>
      <sheetName val="SV15"/>
      <sheetName val="SV16"/>
      <sheetName val="SV22"/>
      <sheetName val="SV23"/>
      <sheetName val="SV24"/>
      <sheetName val="SV25"/>
      <sheetName val="SV26"/>
      <sheetName val="SV27"/>
      <sheetName val="FT01"/>
      <sheetName val="FT02"/>
      <sheetName val="FT03"/>
      <sheetName val="FT04"/>
      <sheetName val="FT05"/>
      <sheetName val="FT06"/>
      <sheetName val="FT07"/>
      <sheetName val="FT08"/>
      <sheetName val="FT09"/>
      <sheetName val="FT10"/>
      <sheetName val="FT11"/>
      <sheetName val="FT12"/>
      <sheetName val="FT13"/>
      <sheetName val="FT14"/>
      <sheetName val="FT15"/>
      <sheetName val="FT16"/>
      <sheetName val="FT17"/>
      <sheetName val="FT18"/>
      <sheetName val="FT19"/>
      <sheetName val="FT20"/>
      <sheetName val="FT21"/>
      <sheetName val="FT22"/>
      <sheetName val="FT23"/>
      <sheetName val="FT24"/>
      <sheetName val="FT25"/>
      <sheetName val="FT26"/>
      <sheetName val="FT27"/>
      <sheetName val="FT28"/>
      <sheetName val="FT29"/>
      <sheetName val="FT30"/>
      <sheetName val="FT31"/>
      <sheetName val="FT32"/>
      <sheetName val="FT33"/>
      <sheetName val="FT34"/>
      <sheetName val="FT35"/>
      <sheetName val="FT36"/>
      <sheetName val="CTI01"/>
      <sheetName val="MT70"/>
      <sheetName val="MT71"/>
      <sheetName val="MT72"/>
      <sheetName val="MT73"/>
      <sheetName val="MT74"/>
      <sheetName val="MT75"/>
      <sheetName val="MT76"/>
      <sheetName val="GECU System Test Case Overview "/>
    </sheetNames>
    <sheetDataSet>
      <sheetData sheetId="0" refreshError="1">
        <row r="6">
          <cell r="A6" t="str">
            <v>MT01</v>
          </cell>
          <cell r="B6">
            <v>0</v>
          </cell>
          <cell r="C6">
            <v>0</v>
          </cell>
          <cell r="D6">
            <v>0</v>
          </cell>
          <cell r="E6">
            <v>0</v>
          </cell>
          <cell r="F6">
            <v>0</v>
          </cell>
        </row>
        <row r="7">
          <cell r="A7" t="str">
            <v>MT02</v>
          </cell>
          <cell r="B7">
            <v>0</v>
          </cell>
          <cell r="C7">
            <v>0</v>
          </cell>
          <cell r="D7">
            <v>0</v>
          </cell>
          <cell r="E7">
            <v>0</v>
          </cell>
          <cell r="F7">
            <v>0</v>
          </cell>
        </row>
        <row r="8">
          <cell r="A8" t="str">
            <v>MT03</v>
          </cell>
          <cell r="B8">
            <v>0</v>
          </cell>
          <cell r="C8">
            <v>0</v>
          </cell>
          <cell r="D8">
            <v>0</v>
          </cell>
          <cell r="E8">
            <v>0</v>
          </cell>
          <cell r="F8">
            <v>0</v>
          </cell>
        </row>
        <row r="9">
          <cell r="A9" t="str">
            <v>MT04</v>
          </cell>
          <cell r="B9">
            <v>0</v>
          </cell>
          <cell r="C9">
            <v>0</v>
          </cell>
          <cell r="D9">
            <v>0</v>
          </cell>
          <cell r="E9">
            <v>0</v>
          </cell>
          <cell r="F9">
            <v>0</v>
          </cell>
        </row>
        <row r="10">
          <cell r="A10" t="str">
            <v>MT05</v>
          </cell>
          <cell r="B10">
            <v>0</v>
          </cell>
          <cell r="C10">
            <v>0</v>
          </cell>
          <cell r="D10">
            <v>0</v>
          </cell>
          <cell r="E10">
            <v>0</v>
          </cell>
          <cell r="F10">
            <v>0</v>
          </cell>
        </row>
        <row r="11">
          <cell r="A11" t="str">
            <v>MT06</v>
          </cell>
          <cell r="B11">
            <v>0</v>
          </cell>
          <cell r="C11">
            <v>0</v>
          </cell>
          <cell r="D11">
            <v>0</v>
          </cell>
          <cell r="E11">
            <v>0</v>
          </cell>
          <cell r="F11">
            <v>0</v>
          </cell>
        </row>
        <row r="12">
          <cell r="A12" t="str">
            <v>MT07</v>
          </cell>
          <cell r="B12">
            <v>0</v>
          </cell>
          <cell r="C12">
            <v>0</v>
          </cell>
          <cell r="D12">
            <v>0</v>
          </cell>
          <cell r="E12">
            <v>0</v>
          </cell>
          <cell r="F12">
            <v>0</v>
          </cell>
        </row>
        <row r="13">
          <cell r="A13" t="str">
            <v>MT08</v>
          </cell>
          <cell r="B13">
            <v>0</v>
          </cell>
          <cell r="C13">
            <v>0</v>
          </cell>
          <cell r="D13">
            <v>0</v>
          </cell>
          <cell r="E13">
            <v>0</v>
          </cell>
          <cell r="F13">
            <v>0</v>
          </cell>
        </row>
        <row r="14">
          <cell r="A14" t="str">
            <v>MT09</v>
          </cell>
          <cell r="B14">
            <v>0</v>
          </cell>
          <cell r="C14">
            <v>0</v>
          </cell>
          <cell r="D14">
            <v>0</v>
          </cell>
          <cell r="E14">
            <v>0</v>
          </cell>
          <cell r="F14">
            <v>0</v>
          </cell>
        </row>
        <row r="15">
          <cell r="A15" t="str">
            <v>MT10</v>
          </cell>
          <cell r="B15">
            <v>0</v>
          </cell>
          <cell r="C15">
            <v>0</v>
          </cell>
          <cell r="D15">
            <v>0</v>
          </cell>
          <cell r="E15">
            <v>0</v>
          </cell>
          <cell r="F15">
            <v>0</v>
          </cell>
        </row>
        <row r="16">
          <cell r="A16" t="str">
            <v>MT11</v>
          </cell>
          <cell r="B16">
            <v>0</v>
          </cell>
          <cell r="C16">
            <v>0</v>
          </cell>
          <cell r="D16">
            <v>0</v>
          </cell>
          <cell r="E16">
            <v>0</v>
          </cell>
          <cell r="F16">
            <v>0</v>
          </cell>
        </row>
        <row r="17">
          <cell r="A17" t="str">
            <v>MT12</v>
          </cell>
          <cell r="B17">
            <v>0</v>
          </cell>
          <cell r="C17">
            <v>0</v>
          </cell>
          <cell r="D17">
            <v>0</v>
          </cell>
          <cell r="E17">
            <v>0</v>
          </cell>
          <cell r="F17">
            <v>0</v>
          </cell>
        </row>
        <row r="18">
          <cell r="A18" t="str">
            <v>MT13</v>
          </cell>
          <cell r="B18">
            <v>0</v>
          </cell>
          <cell r="C18">
            <v>0</v>
          </cell>
          <cell r="D18">
            <v>0</v>
          </cell>
          <cell r="E18">
            <v>0</v>
          </cell>
          <cell r="F18">
            <v>0</v>
          </cell>
        </row>
        <row r="19">
          <cell r="A19" t="str">
            <v>MT14</v>
          </cell>
          <cell r="B19">
            <v>0</v>
          </cell>
          <cell r="C19">
            <v>0</v>
          </cell>
          <cell r="D19">
            <v>0</v>
          </cell>
          <cell r="E19">
            <v>0</v>
          </cell>
          <cell r="F19">
            <v>0</v>
          </cell>
        </row>
        <row r="20">
          <cell r="A20" t="str">
            <v>MT15</v>
          </cell>
          <cell r="B20">
            <v>0</v>
          </cell>
          <cell r="C20">
            <v>0</v>
          </cell>
          <cell r="D20">
            <v>0</v>
          </cell>
          <cell r="E20">
            <v>0</v>
          </cell>
          <cell r="F20">
            <v>0</v>
          </cell>
        </row>
        <row r="21">
          <cell r="A21" t="str">
            <v>MT16</v>
          </cell>
          <cell r="B21">
            <v>0</v>
          </cell>
          <cell r="C21">
            <v>0</v>
          </cell>
          <cell r="D21">
            <v>0</v>
          </cell>
          <cell r="E21">
            <v>0</v>
          </cell>
          <cell r="F21">
            <v>0</v>
          </cell>
        </row>
        <row r="22">
          <cell r="A22" t="str">
            <v>MT17</v>
          </cell>
          <cell r="B22">
            <v>0</v>
          </cell>
          <cell r="C22">
            <v>0</v>
          </cell>
          <cell r="D22">
            <v>0</v>
          </cell>
          <cell r="E22">
            <v>0</v>
          </cell>
          <cell r="F22">
            <v>0</v>
          </cell>
        </row>
        <row r="23">
          <cell r="A23" t="str">
            <v>MT18</v>
          </cell>
          <cell r="B23">
            <v>0</v>
          </cell>
          <cell r="C23">
            <v>0</v>
          </cell>
          <cell r="D23">
            <v>0</v>
          </cell>
          <cell r="E23">
            <v>0</v>
          </cell>
          <cell r="F23">
            <v>0</v>
          </cell>
        </row>
        <row r="24">
          <cell r="A24" t="str">
            <v>MT19</v>
          </cell>
          <cell r="B24">
            <v>0</v>
          </cell>
          <cell r="C24">
            <v>0</v>
          </cell>
          <cell r="D24">
            <v>0</v>
          </cell>
          <cell r="E24">
            <v>0</v>
          </cell>
          <cell r="F24">
            <v>0</v>
          </cell>
        </row>
        <row r="25">
          <cell r="A25" t="str">
            <v>MT20</v>
          </cell>
          <cell r="B25">
            <v>0</v>
          </cell>
          <cell r="C25">
            <v>0</v>
          </cell>
          <cell r="D25">
            <v>0</v>
          </cell>
          <cell r="E25">
            <v>0</v>
          </cell>
          <cell r="F25">
            <v>0</v>
          </cell>
        </row>
        <row r="26">
          <cell r="A26" t="str">
            <v>MT21</v>
          </cell>
          <cell r="B26">
            <v>0</v>
          </cell>
          <cell r="C26">
            <v>0</v>
          </cell>
          <cell r="D26">
            <v>0</v>
          </cell>
          <cell r="E26">
            <v>0</v>
          </cell>
          <cell r="F26">
            <v>0</v>
          </cell>
        </row>
        <row r="27">
          <cell r="A27" t="str">
            <v>MT22</v>
          </cell>
          <cell r="B27">
            <v>0</v>
          </cell>
          <cell r="C27">
            <v>0</v>
          </cell>
          <cell r="D27">
            <v>0</v>
          </cell>
          <cell r="E27">
            <v>0</v>
          </cell>
          <cell r="F27">
            <v>0</v>
          </cell>
        </row>
        <row r="28">
          <cell r="A28" t="str">
            <v>MT23</v>
          </cell>
          <cell r="B28">
            <v>0</v>
          </cell>
          <cell r="C28">
            <v>0</v>
          </cell>
          <cell r="D28">
            <v>0</v>
          </cell>
          <cell r="E28">
            <v>0</v>
          </cell>
          <cell r="F28">
            <v>0</v>
          </cell>
        </row>
        <row r="29">
          <cell r="A29" t="str">
            <v>MT24</v>
          </cell>
          <cell r="B29">
            <v>0</v>
          </cell>
          <cell r="C29">
            <v>0</v>
          </cell>
          <cell r="D29">
            <v>0</v>
          </cell>
          <cell r="E29">
            <v>0</v>
          </cell>
          <cell r="F29">
            <v>0</v>
          </cell>
        </row>
        <row r="30">
          <cell r="A30" t="str">
            <v>MT25</v>
          </cell>
          <cell r="B30">
            <v>0</v>
          </cell>
          <cell r="C30">
            <v>0</v>
          </cell>
          <cell r="D30">
            <v>0</v>
          </cell>
          <cell r="E30">
            <v>0</v>
          </cell>
          <cell r="F30">
            <v>0</v>
          </cell>
        </row>
        <row r="31">
          <cell r="A31" t="str">
            <v>MT26</v>
          </cell>
          <cell r="B31">
            <v>0</v>
          </cell>
          <cell r="C31">
            <v>0</v>
          </cell>
          <cell r="D31">
            <v>0</v>
          </cell>
          <cell r="E31">
            <v>0</v>
          </cell>
          <cell r="F31">
            <v>0</v>
          </cell>
        </row>
        <row r="32">
          <cell r="A32" t="str">
            <v>MT27</v>
          </cell>
          <cell r="B32">
            <v>0</v>
          </cell>
          <cell r="C32">
            <v>0</v>
          </cell>
          <cell r="D32">
            <v>0</v>
          </cell>
          <cell r="E32">
            <v>0</v>
          </cell>
          <cell r="F32">
            <v>0</v>
          </cell>
        </row>
        <row r="33">
          <cell r="A33" t="str">
            <v>MT28</v>
          </cell>
          <cell r="B33">
            <v>0</v>
          </cell>
          <cell r="C33">
            <v>0</v>
          </cell>
          <cell r="D33">
            <v>0</v>
          </cell>
          <cell r="E33">
            <v>0</v>
          </cell>
          <cell r="F33">
            <v>0</v>
          </cell>
        </row>
        <row r="34">
          <cell r="A34" t="str">
            <v>MT29</v>
          </cell>
          <cell r="B34">
            <v>0</v>
          </cell>
          <cell r="C34">
            <v>0</v>
          </cell>
          <cell r="D34">
            <v>0</v>
          </cell>
          <cell r="E34">
            <v>0</v>
          </cell>
          <cell r="F34">
            <v>0</v>
          </cell>
        </row>
        <row r="35">
          <cell r="A35" t="str">
            <v>MT30</v>
          </cell>
          <cell r="B35">
            <v>0</v>
          </cell>
          <cell r="C35">
            <v>0</v>
          </cell>
          <cell r="D35">
            <v>0</v>
          </cell>
          <cell r="E35">
            <v>0</v>
          </cell>
          <cell r="F35">
            <v>0</v>
          </cell>
        </row>
        <row r="36">
          <cell r="A36" t="str">
            <v>MT31</v>
          </cell>
          <cell r="B36">
            <v>0</v>
          </cell>
          <cell r="C36">
            <v>0</v>
          </cell>
          <cell r="D36">
            <v>0</v>
          </cell>
          <cell r="E36">
            <v>0</v>
          </cell>
          <cell r="F36">
            <v>0</v>
          </cell>
        </row>
        <row r="37">
          <cell r="A37" t="str">
            <v>MT32</v>
          </cell>
          <cell r="B37">
            <v>0</v>
          </cell>
          <cell r="C37">
            <v>0</v>
          </cell>
          <cell r="D37">
            <v>0</v>
          </cell>
          <cell r="E37">
            <v>0</v>
          </cell>
          <cell r="F37">
            <v>0</v>
          </cell>
        </row>
        <row r="38">
          <cell r="A38" t="str">
            <v>MT33</v>
          </cell>
          <cell r="B38">
            <v>0</v>
          </cell>
          <cell r="C38">
            <v>0</v>
          </cell>
          <cell r="D38">
            <v>0</v>
          </cell>
          <cell r="E38">
            <v>0</v>
          </cell>
          <cell r="F38">
            <v>0</v>
          </cell>
        </row>
        <row r="39">
          <cell r="A39" t="str">
            <v>MT34</v>
          </cell>
          <cell r="B39">
            <v>0</v>
          </cell>
          <cell r="C39">
            <v>0</v>
          </cell>
          <cell r="D39">
            <v>0</v>
          </cell>
          <cell r="E39">
            <v>0</v>
          </cell>
          <cell r="F39">
            <v>0</v>
          </cell>
        </row>
        <row r="40">
          <cell r="A40" t="str">
            <v>MT35</v>
          </cell>
          <cell r="B40">
            <v>0</v>
          </cell>
          <cell r="C40">
            <v>0</v>
          </cell>
          <cell r="D40">
            <v>0</v>
          </cell>
          <cell r="E40">
            <v>0</v>
          </cell>
          <cell r="F40">
            <v>0</v>
          </cell>
        </row>
        <row r="41">
          <cell r="A41" t="str">
            <v>MT36</v>
          </cell>
          <cell r="B41">
            <v>0</v>
          </cell>
          <cell r="C41">
            <v>0</v>
          </cell>
          <cell r="D41">
            <v>0</v>
          </cell>
          <cell r="E41">
            <v>0</v>
          </cell>
          <cell r="F41">
            <v>0</v>
          </cell>
        </row>
        <row r="42">
          <cell r="A42" t="str">
            <v>MT37</v>
          </cell>
          <cell r="B42">
            <v>0</v>
          </cell>
          <cell r="C42">
            <v>0</v>
          </cell>
          <cell r="D42">
            <v>0</v>
          </cell>
          <cell r="E42">
            <v>0</v>
          </cell>
          <cell r="F42">
            <v>0</v>
          </cell>
        </row>
        <row r="43">
          <cell r="A43" t="str">
            <v>MT38</v>
          </cell>
          <cell r="B43">
            <v>0</v>
          </cell>
          <cell r="C43">
            <v>0</v>
          </cell>
          <cell r="D43">
            <v>0</v>
          </cell>
          <cell r="E43">
            <v>0</v>
          </cell>
          <cell r="F43">
            <v>0</v>
          </cell>
        </row>
        <row r="44">
          <cell r="A44" t="str">
            <v>MT39</v>
          </cell>
          <cell r="B44">
            <v>0</v>
          </cell>
          <cell r="C44">
            <v>0</v>
          </cell>
          <cell r="D44">
            <v>0</v>
          </cell>
          <cell r="E44">
            <v>0</v>
          </cell>
          <cell r="F44">
            <v>0</v>
          </cell>
        </row>
        <row r="45">
          <cell r="A45" t="str">
            <v>MT40</v>
          </cell>
          <cell r="B45">
            <v>0</v>
          </cell>
          <cell r="C45">
            <v>0</v>
          </cell>
          <cell r="D45">
            <v>0</v>
          </cell>
          <cell r="E45">
            <v>0</v>
          </cell>
          <cell r="F45">
            <v>0</v>
          </cell>
        </row>
        <row r="46">
          <cell r="A46" t="str">
            <v>MT41</v>
          </cell>
          <cell r="B46">
            <v>0</v>
          </cell>
          <cell r="C46">
            <v>0</v>
          </cell>
          <cell r="D46">
            <v>0</v>
          </cell>
          <cell r="E46">
            <v>0</v>
          </cell>
          <cell r="F46">
            <v>0</v>
          </cell>
        </row>
        <row r="47">
          <cell r="A47" t="str">
            <v>MT42</v>
          </cell>
          <cell r="B47">
            <v>0</v>
          </cell>
          <cell r="C47">
            <v>0</v>
          </cell>
          <cell r="D47">
            <v>0</v>
          </cell>
          <cell r="E47">
            <v>0</v>
          </cell>
          <cell r="F47">
            <v>0</v>
          </cell>
        </row>
        <row r="48">
          <cell r="A48" t="str">
            <v>MT43</v>
          </cell>
          <cell r="B48">
            <v>0</v>
          </cell>
          <cell r="C48">
            <v>0</v>
          </cell>
          <cell r="D48">
            <v>0</v>
          </cell>
          <cell r="E48">
            <v>0</v>
          </cell>
          <cell r="F48">
            <v>0</v>
          </cell>
        </row>
        <row r="49">
          <cell r="A49" t="str">
            <v>MT44</v>
          </cell>
          <cell r="B49">
            <v>0</v>
          </cell>
          <cell r="C49">
            <v>0</v>
          </cell>
          <cell r="D49">
            <v>0</v>
          </cell>
          <cell r="E49">
            <v>0</v>
          </cell>
          <cell r="F49">
            <v>0</v>
          </cell>
        </row>
        <row r="50">
          <cell r="A50" t="str">
            <v>MT45</v>
          </cell>
          <cell r="B50">
            <v>0</v>
          </cell>
          <cell r="C50">
            <v>0</v>
          </cell>
          <cell r="D50">
            <v>0</v>
          </cell>
          <cell r="E50">
            <v>0</v>
          </cell>
          <cell r="F50">
            <v>0</v>
          </cell>
        </row>
        <row r="51">
          <cell r="A51" t="str">
            <v>MT46</v>
          </cell>
          <cell r="B51">
            <v>0</v>
          </cell>
          <cell r="C51">
            <v>0</v>
          </cell>
          <cell r="D51">
            <v>0</v>
          </cell>
          <cell r="E51">
            <v>0</v>
          </cell>
          <cell r="F51">
            <v>0</v>
          </cell>
        </row>
        <row r="52">
          <cell r="A52" t="str">
            <v>MT47</v>
          </cell>
          <cell r="B52">
            <v>0</v>
          </cell>
          <cell r="C52">
            <v>0</v>
          </cell>
          <cell r="D52">
            <v>0</v>
          </cell>
          <cell r="E52">
            <v>0</v>
          </cell>
          <cell r="F52">
            <v>0</v>
          </cell>
        </row>
        <row r="53">
          <cell r="A53" t="str">
            <v>MT48</v>
          </cell>
          <cell r="B53">
            <v>0</v>
          </cell>
          <cell r="C53">
            <v>0</v>
          </cell>
          <cell r="D53">
            <v>0</v>
          </cell>
          <cell r="E53">
            <v>0</v>
          </cell>
          <cell r="F53">
            <v>0</v>
          </cell>
        </row>
        <row r="54">
          <cell r="A54" t="str">
            <v>MT49</v>
          </cell>
          <cell r="B54">
            <v>0</v>
          </cell>
          <cell r="C54">
            <v>0</v>
          </cell>
          <cell r="D54">
            <v>0</v>
          </cell>
          <cell r="E54">
            <v>0</v>
          </cell>
          <cell r="F54">
            <v>0</v>
          </cell>
        </row>
        <row r="55">
          <cell r="A55" t="str">
            <v>MT50</v>
          </cell>
          <cell r="B55">
            <v>0</v>
          </cell>
          <cell r="C55">
            <v>0</v>
          </cell>
          <cell r="D55">
            <v>0</v>
          </cell>
          <cell r="E55">
            <v>0</v>
          </cell>
          <cell r="F55">
            <v>0</v>
          </cell>
        </row>
        <row r="56">
          <cell r="A56" t="str">
            <v>MT51</v>
          </cell>
          <cell r="B56">
            <v>0</v>
          </cell>
          <cell r="C56">
            <v>0</v>
          </cell>
          <cell r="D56">
            <v>0</v>
          </cell>
          <cell r="E56">
            <v>0</v>
          </cell>
          <cell r="F56">
            <v>0</v>
          </cell>
        </row>
        <row r="57">
          <cell r="A57" t="str">
            <v>MT52</v>
          </cell>
          <cell r="B57">
            <v>0</v>
          </cell>
          <cell r="C57">
            <v>0</v>
          </cell>
          <cell r="D57">
            <v>0</v>
          </cell>
          <cell r="E57">
            <v>0</v>
          </cell>
          <cell r="F57">
            <v>0</v>
          </cell>
        </row>
        <row r="58">
          <cell r="A58" t="str">
            <v>MT53</v>
          </cell>
          <cell r="B58">
            <v>0</v>
          </cell>
          <cell r="C58">
            <v>0</v>
          </cell>
          <cell r="D58">
            <v>0</v>
          </cell>
          <cell r="E58">
            <v>0</v>
          </cell>
          <cell r="F58">
            <v>0</v>
          </cell>
        </row>
        <row r="59">
          <cell r="A59" t="str">
            <v>MT54</v>
          </cell>
          <cell r="B59">
            <v>0</v>
          </cell>
          <cell r="C59">
            <v>0</v>
          </cell>
          <cell r="D59">
            <v>0</v>
          </cell>
          <cell r="E59">
            <v>0</v>
          </cell>
          <cell r="F59">
            <v>0</v>
          </cell>
        </row>
        <row r="60">
          <cell r="A60" t="str">
            <v>MT55</v>
          </cell>
          <cell r="B60">
            <v>0</v>
          </cell>
          <cell r="C60">
            <v>0</v>
          </cell>
          <cell r="D60">
            <v>0</v>
          </cell>
          <cell r="E60">
            <v>0</v>
          </cell>
          <cell r="F60">
            <v>0</v>
          </cell>
        </row>
        <row r="61">
          <cell r="A61" t="str">
            <v>MT56</v>
          </cell>
          <cell r="B61">
            <v>0</v>
          </cell>
          <cell r="C61">
            <v>0</v>
          </cell>
          <cell r="D61">
            <v>0</v>
          </cell>
          <cell r="E61">
            <v>0</v>
          </cell>
          <cell r="F61">
            <v>0</v>
          </cell>
        </row>
        <row r="62">
          <cell r="A62" t="str">
            <v>MT57</v>
          </cell>
          <cell r="B62">
            <v>0</v>
          </cell>
          <cell r="C62">
            <v>0</v>
          </cell>
          <cell r="D62">
            <v>0</v>
          </cell>
          <cell r="E62">
            <v>0</v>
          </cell>
          <cell r="F62">
            <v>0</v>
          </cell>
        </row>
        <row r="63">
          <cell r="A63" t="str">
            <v>MT58</v>
          </cell>
          <cell r="B63">
            <v>0</v>
          </cell>
          <cell r="C63">
            <v>0</v>
          </cell>
          <cell r="D63">
            <v>0</v>
          </cell>
          <cell r="E63">
            <v>0</v>
          </cell>
          <cell r="F63">
            <v>0</v>
          </cell>
        </row>
        <row r="64">
          <cell r="A64" t="str">
            <v>MT59</v>
          </cell>
          <cell r="B64">
            <v>0</v>
          </cell>
          <cell r="C64">
            <v>0</v>
          </cell>
          <cell r="D64">
            <v>0</v>
          </cell>
          <cell r="E64">
            <v>0</v>
          </cell>
          <cell r="F64">
            <v>0</v>
          </cell>
        </row>
        <row r="65">
          <cell r="A65" t="str">
            <v>MT60</v>
          </cell>
          <cell r="B65">
            <v>0</v>
          </cell>
          <cell r="C65">
            <v>0</v>
          </cell>
          <cell r="D65">
            <v>0</v>
          </cell>
          <cell r="E65">
            <v>0</v>
          </cell>
          <cell r="F65">
            <v>0</v>
          </cell>
        </row>
        <row r="66">
          <cell r="A66" t="str">
            <v>MT61</v>
          </cell>
          <cell r="B66">
            <v>0</v>
          </cell>
          <cell r="C66">
            <v>0</v>
          </cell>
          <cell r="D66">
            <v>0</v>
          </cell>
          <cell r="E66">
            <v>0</v>
          </cell>
          <cell r="F66">
            <v>0</v>
          </cell>
        </row>
        <row r="67">
          <cell r="A67" t="str">
            <v>MT62</v>
          </cell>
          <cell r="B67">
            <v>0</v>
          </cell>
          <cell r="C67">
            <v>0</v>
          </cell>
          <cell r="D67">
            <v>0</v>
          </cell>
          <cell r="E67">
            <v>0</v>
          </cell>
          <cell r="F67">
            <v>0</v>
          </cell>
        </row>
        <row r="68">
          <cell r="A68" t="str">
            <v>MT63</v>
          </cell>
          <cell r="B68">
            <v>0</v>
          </cell>
          <cell r="C68">
            <v>0</v>
          </cell>
          <cell r="D68">
            <v>0</v>
          </cell>
          <cell r="E68">
            <v>0</v>
          </cell>
          <cell r="F68">
            <v>0</v>
          </cell>
        </row>
        <row r="69">
          <cell r="A69" t="str">
            <v>MT64</v>
          </cell>
          <cell r="B69">
            <v>0</v>
          </cell>
          <cell r="C69">
            <v>0</v>
          </cell>
          <cell r="D69">
            <v>0</v>
          </cell>
          <cell r="E69">
            <v>0</v>
          </cell>
          <cell r="F69">
            <v>0</v>
          </cell>
        </row>
        <row r="70">
          <cell r="A70" t="str">
            <v>MT65</v>
          </cell>
          <cell r="B70">
            <v>0</v>
          </cell>
          <cell r="C70">
            <v>0</v>
          </cell>
          <cell r="D70">
            <v>0</v>
          </cell>
          <cell r="E70">
            <v>0</v>
          </cell>
          <cell r="F70">
            <v>0</v>
          </cell>
        </row>
        <row r="71">
          <cell r="A71" t="str">
            <v>MT66</v>
          </cell>
          <cell r="B71">
            <v>0</v>
          </cell>
          <cell r="C71">
            <v>0</v>
          </cell>
          <cell r="D71">
            <v>0</v>
          </cell>
          <cell r="E71">
            <v>0</v>
          </cell>
          <cell r="F71">
            <v>0</v>
          </cell>
        </row>
        <row r="72">
          <cell r="A72" t="str">
            <v>MT67</v>
          </cell>
          <cell r="B72">
            <v>0</v>
          </cell>
          <cell r="C72">
            <v>0</v>
          </cell>
          <cell r="D72">
            <v>0</v>
          </cell>
          <cell r="E72">
            <v>0</v>
          </cell>
          <cell r="F72">
            <v>0</v>
          </cell>
        </row>
        <row r="73">
          <cell r="A73" t="str">
            <v>MT68</v>
          </cell>
          <cell r="B73">
            <v>0</v>
          </cell>
          <cell r="C73">
            <v>0</v>
          </cell>
          <cell r="D73">
            <v>0</v>
          </cell>
          <cell r="E73">
            <v>0</v>
          </cell>
          <cell r="F73">
            <v>0</v>
          </cell>
        </row>
        <row r="74">
          <cell r="A74" t="str">
            <v>MT69</v>
          </cell>
          <cell r="B74">
            <v>0</v>
          </cell>
          <cell r="C74">
            <v>0</v>
          </cell>
          <cell r="D74">
            <v>0</v>
          </cell>
          <cell r="E74">
            <v>0</v>
          </cell>
          <cell r="F74">
            <v>0</v>
          </cell>
        </row>
        <row r="75">
          <cell r="A75" t="str">
            <v>MT70</v>
          </cell>
          <cell r="B75">
            <v>0</v>
          </cell>
          <cell r="C75">
            <v>0</v>
          </cell>
          <cell r="D75">
            <v>0</v>
          </cell>
          <cell r="E75">
            <v>0</v>
          </cell>
          <cell r="F75">
            <v>0</v>
          </cell>
        </row>
        <row r="76">
          <cell r="A76" t="str">
            <v>MT71</v>
          </cell>
          <cell r="B76">
            <v>0</v>
          </cell>
          <cell r="C76">
            <v>0</v>
          </cell>
          <cell r="D76">
            <v>0</v>
          </cell>
          <cell r="E76">
            <v>0</v>
          </cell>
          <cell r="F76">
            <v>0</v>
          </cell>
        </row>
        <row r="77">
          <cell r="A77" t="str">
            <v>MT72</v>
          </cell>
          <cell r="B77">
            <v>0</v>
          </cell>
          <cell r="C77">
            <v>0</v>
          </cell>
          <cell r="D77">
            <v>0</v>
          </cell>
          <cell r="E77">
            <v>0</v>
          </cell>
          <cell r="F77">
            <v>0</v>
          </cell>
        </row>
        <row r="78">
          <cell r="A78" t="str">
            <v>MT73</v>
          </cell>
          <cell r="B78">
            <v>0</v>
          </cell>
          <cell r="C78">
            <v>0</v>
          </cell>
          <cell r="D78">
            <v>0</v>
          </cell>
          <cell r="E78">
            <v>0</v>
          </cell>
          <cell r="F78">
            <v>0</v>
          </cell>
        </row>
        <row r="79">
          <cell r="A79" t="str">
            <v>MT74</v>
          </cell>
          <cell r="B79">
            <v>0</v>
          </cell>
          <cell r="C79">
            <v>0</v>
          </cell>
          <cell r="D79">
            <v>0</v>
          </cell>
          <cell r="E79">
            <v>0</v>
          </cell>
          <cell r="F79">
            <v>0</v>
          </cell>
        </row>
        <row r="80">
          <cell r="A80" t="str">
            <v>MT75</v>
          </cell>
          <cell r="B80">
            <v>0</v>
          </cell>
          <cell r="C80">
            <v>0</v>
          </cell>
          <cell r="D80">
            <v>0</v>
          </cell>
          <cell r="E80">
            <v>0</v>
          </cell>
          <cell r="F80">
            <v>0</v>
          </cell>
        </row>
        <row r="81">
          <cell r="A81" t="str">
            <v>MT76</v>
          </cell>
          <cell r="B81">
            <v>0</v>
          </cell>
          <cell r="C81">
            <v>0</v>
          </cell>
          <cell r="D81">
            <v>0</v>
          </cell>
          <cell r="E81">
            <v>0</v>
          </cell>
          <cell r="F81">
            <v>0</v>
          </cell>
        </row>
        <row r="82">
          <cell r="A82">
            <v>0</v>
          </cell>
          <cell r="B82">
            <v>0</v>
          </cell>
          <cell r="C82">
            <v>0</v>
          </cell>
          <cell r="D82">
            <v>0</v>
          </cell>
          <cell r="E82">
            <v>0</v>
          </cell>
          <cell r="F82">
            <v>0</v>
          </cell>
        </row>
        <row r="83">
          <cell r="A83" t="str">
            <v>Checking Test Cycle (CK#)</v>
          </cell>
          <cell r="B83">
            <v>0</v>
          </cell>
          <cell r="C83">
            <v>0</v>
          </cell>
          <cell r="D83">
            <v>0</v>
          </cell>
          <cell r="E83">
            <v>0</v>
          </cell>
          <cell r="F83">
            <v>0</v>
          </cell>
        </row>
        <row r="84">
          <cell r="A84" t="str">
            <v>CK01</v>
          </cell>
          <cell r="B84">
            <v>0</v>
          </cell>
          <cell r="C84" t="str">
            <v>Current Balance &amp; Available Balance Negative to Checking Menu DTMF0 CSRvice Xfer</v>
          </cell>
          <cell r="D84" t="str">
            <v xml:space="preserve">Client: Minimum 1 Checking - Balance both &lt; 0 </v>
          </cell>
          <cell r="E84">
            <v>0</v>
          </cell>
          <cell r="F84">
            <v>0</v>
          </cell>
        </row>
        <row r="85">
          <cell r="A85" t="str">
            <v>CK02</v>
          </cell>
          <cell r="B85">
            <v>0</v>
          </cell>
          <cell r="C85" t="str">
            <v>Current Balance Negative &amp; Available Balance &gt;0 Confirm Return to main menu Landing</v>
          </cell>
          <cell r="D85" t="str">
            <v>Client: Minimum 1 Checking - Balance current &lt; 0 Available &gt; 0</v>
          </cell>
          <cell r="E85">
            <v>0</v>
          </cell>
          <cell r="F85">
            <v>0</v>
          </cell>
        </row>
        <row r="86">
          <cell r="A86" t="str">
            <v>CK03</v>
          </cell>
          <cell r="B86">
            <v>0</v>
          </cell>
          <cell r="C86" t="str">
            <v>Current Balance &gt;0 &amp; Available Balance Negative Repeat to Re-Order Checks Xfer</v>
          </cell>
          <cell r="D86" t="str">
            <v>Client: Minimum 1 Checking - Balance current &gt; 0 Available &lt; 0</v>
          </cell>
          <cell r="E86">
            <v>0</v>
          </cell>
          <cell r="F86">
            <v>0</v>
          </cell>
        </row>
        <row r="87">
          <cell r="A87" t="str">
            <v>CK04</v>
          </cell>
          <cell r="B87">
            <v>0</v>
          </cell>
          <cell r="C87" t="str">
            <v>Current Balance &amp; Available Balance &gt;0 Transfer Funds Confirm landing</v>
          </cell>
          <cell r="D87" t="str">
            <v xml:space="preserve">Client: Minimum 1 Checking - Balance both &gt; 0 </v>
          </cell>
          <cell r="E87">
            <v>0</v>
          </cell>
          <cell r="F87">
            <v>0</v>
          </cell>
        </row>
        <row r="88">
          <cell r="A88" t="str">
            <v>CK05</v>
          </cell>
          <cell r="B88">
            <v>0</v>
          </cell>
          <cell r="C88" t="str">
            <v>Checking Activity Debits Check Number processed REPEAT &amp; Debits Menu DTMF0 CSRvice Xfer</v>
          </cell>
          <cell r="D88" t="str">
            <v>Client: Minimum 1 Checking - WS13 tran code &gt; 4 digits</v>
          </cell>
          <cell r="E88">
            <v>0</v>
          </cell>
          <cell r="F88">
            <v>0</v>
          </cell>
        </row>
        <row r="89">
          <cell r="A89" t="str">
            <v>CK06</v>
          </cell>
          <cell r="B89">
            <v>0</v>
          </cell>
          <cell r="C89" t="str">
            <v>Checking Activity Debits ATM Withdrawal + Debits return to checking menu &amp; then debits DTMF9 to MM</v>
          </cell>
          <cell r="D89" t="str">
            <v>Client: Minimum 1 Checking - WS13 tran code 0037</v>
          </cell>
          <cell r="E89">
            <v>0</v>
          </cell>
          <cell r="F89">
            <v>0</v>
          </cell>
        </row>
        <row r="90">
          <cell r="A90" t="str">
            <v>CK07</v>
          </cell>
          <cell r="B90">
            <v>0</v>
          </cell>
          <cell r="C90" t="str">
            <v>Checking Activity Debits A purchase</v>
          </cell>
          <cell r="D90" t="str">
            <v>Client: Minimum 1 Checking - WS13 tran code Null</v>
          </cell>
          <cell r="E90">
            <v>0</v>
          </cell>
          <cell r="F90">
            <v>0</v>
          </cell>
        </row>
        <row r="91">
          <cell r="A91" t="str">
            <v>CK08</v>
          </cell>
          <cell r="B91">
            <v>0</v>
          </cell>
          <cell r="C91" t="str">
            <v xml:space="preserve">Checking Activity Debits A Check + Next 10 Debits True &amp; False </v>
          </cell>
          <cell r="D91" t="str">
            <v>Client: Minimum 1 Checking - WS13 tran code 0042/0043/0075/0077</v>
          </cell>
          <cell r="E91">
            <v>0</v>
          </cell>
          <cell r="F91">
            <v>0</v>
          </cell>
        </row>
        <row r="92">
          <cell r="A92" t="str">
            <v>CK09</v>
          </cell>
          <cell r="B92">
            <v>0</v>
          </cell>
          <cell r="C92" t="str">
            <v>Checking Activity Debits A Debit For + Debits back to enter a new Acct# &amp; * Start over during play</v>
          </cell>
          <cell r="D92" t="str">
            <v>Client: Minimum 2 Checking - WS13 tran code "Else"</v>
          </cell>
          <cell r="E92">
            <v>0</v>
          </cell>
          <cell r="F92">
            <v>0</v>
          </cell>
        </row>
        <row r="93">
          <cell r="A93" t="str">
            <v>CK10</v>
          </cell>
          <cell r="B93">
            <v>0</v>
          </cell>
          <cell r="C93" t="str">
            <v>Debits Menu DTMF9 MM Landing</v>
          </cell>
          <cell r="D93" t="str">
            <v>See CK06</v>
          </cell>
          <cell r="E93">
            <v>0</v>
          </cell>
          <cell r="F93">
            <v>0</v>
          </cell>
        </row>
        <row r="94">
          <cell r="A94" t="str">
            <v>CK11</v>
          </cell>
          <cell r="B94">
            <v>0</v>
          </cell>
          <cell r="C94" t="str">
            <v>Debits Menu DTMF0 CSRvice Xfer</v>
          </cell>
          <cell r="D94" t="str">
            <v>see ck05</v>
          </cell>
          <cell r="E94">
            <v>0</v>
          </cell>
          <cell r="F94">
            <v>0</v>
          </cell>
        </row>
        <row r="95">
          <cell r="A95" t="str">
            <v>CK12</v>
          </cell>
          <cell r="B95">
            <v>0</v>
          </cell>
          <cell r="C95" t="str">
            <v xml:space="preserve">Debits Menu Return to Checking Menu </v>
          </cell>
          <cell r="D95" t="str">
            <v>See CK06</v>
          </cell>
          <cell r="E95">
            <v>0</v>
          </cell>
          <cell r="F95">
            <v>0</v>
          </cell>
        </row>
        <row r="96">
          <cell r="A96" t="str">
            <v>CK13</v>
          </cell>
          <cell r="B96">
            <v>0</v>
          </cell>
          <cell r="C96" t="str">
            <v>Debits Menu Enter a New Account Number</v>
          </cell>
          <cell r="D96" t="str">
            <v>SEE CK09</v>
          </cell>
          <cell r="E96">
            <v>0</v>
          </cell>
          <cell r="F96">
            <v>0</v>
          </cell>
        </row>
        <row r="97">
          <cell r="A97" t="str">
            <v>CK14</v>
          </cell>
          <cell r="B97">
            <v>0</v>
          </cell>
          <cell r="C97" t="str">
            <v>Checking Activity Debits Next 10 False Response</v>
          </cell>
          <cell r="D97" t="str">
            <v>SEE CK08</v>
          </cell>
          <cell r="E97">
            <v>0</v>
          </cell>
          <cell r="F97">
            <v>0</v>
          </cell>
        </row>
        <row r="98">
          <cell r="A98" t="str">
            <v>CK15</v>
          </cell>
          <cell r="B98">
            <v>0</v>
          </cell>
          <cell r="C98" t="str">
            <v>Checking Activity Debits Next 10 True Response</v>
          </cell>
          <cell r="D98" t="str">
            <v>SEE CK08</v>
          </cell>
          <cell r="E98">
            <v>0</v>
          </cell>
          <cell r="F98">
            <v>0</v>
          </cell>
        </row>
        <row r="99">
          <cell r="A99" t="str">
            <v>CK16</v>
          </cell>
          <cell r="B99">
            <v>0</v>
          </cell>
          <cell r="C99" t="str">
            <v>Checking Activity Debits Play Multiple Tran Code Types in Single 10 play through</v>
          </cell>
          <cell r="D99" t="str">
            <v>SEE CK05/06/07/08/09 TO APPLY THIS CASE</v>
          </cell>
          <cell r="E99">
            <v>0</v>
          </cell>
          <cell r="F99">
            <v>0</v>
          </cell>
        </row>
        <row r="100">
          <cell r="A100" t="str">
            <v>CK17</v>
          </cell>
          <cell r="B100">
            <v>0</v>
          </cell>
          <cell r="C100" t="str">
            <v xml:space="preserve">Checking Activity Debits Start Over DTMF* </v>
          </cell>
          <cell r="D100" t="str">
            <v>SEE CK09</v>
          </cell>
          <cell r="E100">
            <v>0</v>
          </cell>
          <cell r="F100">
            <v>0</v>
          </cell>
        </row>
        <row r="101">
          <cell r="A101" t="str">
            <v>CK18</v>
          </cell>
          <cell r="B101">
            <v>0</v>
          </cell>
          <cell r="C101" t="str">
            <v>Checking Activity Debits No Debits Since Last Statement + 0310  Goto MM</v>
          </cell>
          <cell r="D101" t="str">
            <v>Client: Minimum 1 Checking - No Transactions WWS13 NoData</v>
          </cell>
          <cell r="E101">
            <v>0</v>
          </cell>
          <cell r="F101">
            <v>0</v>
          </cell>
        </row>
        <row r="102">
          <cell r="A102" t="str">
            <v>CK19</v>
          </cell>
          <cell r="B102">
            <v>0</v>
          </cell>
          <cell r="C102" t="str">
            <v>Checking Activity Debits WS13 Failure Xfer</v>
          </cell>
          <cell r="D102" t="str">
            <v>Client: Minimum 1 Checking - WS13 Failure/Breakdown</v>
          </cell>
          <cell r="E102">
            <v>0</v>
          </cell>
          <cell r="F102">
            <v>0</v>
          </cell>
        </row>
        <row r="103">
          <cell r="A103" t="str">
            <v>CK20</v>
          </cell>
          <cell r="B103">
            <v>0</v>
          </cell>
          <cell r="C103" t="str">
            <v>Checking Activity Pending Debits Teller Transaction + DTMF* during play, DTMF* 0395, &amp; 0395 DTMF9 to MM</v>
          </cell>
          <cell r="D103" t="str">
            <v>Client: Minumum 1 Checking - CC02 Tran Code TLR</v>
          </cell>
          <cell r="E103">
            <v>0</v>
          </cell>
          <cell r="F103">
            <v>0</v>
          </cell>
        </row>
        <row r="104">
          <cell r="A104" t="str">
            <v>CK21</v>
          </cell>
          <cell r="B104">
            <v>0</v>
          </cell>
          <cell r="C104" t="str">
            <v>Checking Activity Pending Debits ATM Withdrawal + Return to Checkin Menu and back &amp; DTMF0 CSRvice Xfer</v>
          </cell>
          <cell r="D104" t="str">
            <v>Client: Minumum 1 Checking - CC02 Tran Code ATM</v>
          </cell>
          <cell r="E104">
            <v>0</v>
          </cell>
          <cell r="F104">
            <v>0</v>
          </cell>
        </row>
        <row r="105">
          <cell r="A105" t="str">
            <v>CK22</v>
          </cell>
          <cell r="B105">
            <v>0</v>
          </cell>
          <cell r="C105" t="str">
            <v>Checking Activity Pending Debits POS purchase + DTMF7 Enter new Acct#</v>
          </cell>
          <cell r="D105" t="str">
            <v>Client: Minumum 2 Checking - CC02 Tran Code POS</v>
          </cell>
          <cell r="E105">
            <v>0</v>
          </cell>
          <cell r="F105">
            <v>0</v>
          </cell>
        </row>
        <row r="106">
          <cell r="A106" t="str">
            <v>CK23</v>
          </cell>
          <cell r="B106">
            <v>0</v>
          </cell>
          <cell r="C106" t="str">
            <v>Checking Activity Pending Debits An authorized Debit</v>
          </cell>
          <cell r="D106" t="str">
            <v>Client: Minumum 1 Checking - CC02 Tran Code VR/OB/ACH/TT/ELSE</v>
          </cell>
          <cell r="E106">
            <v>0</v>
          </cell>
          <cell r="F106">
            <v>0</v>
          </cell>
        </row>
        <row r="107">
          <cell r="A107" t="str">
            <v>CK24</v>
          </cell>
          <cell r="B107">
            <v>0</v>
          </cell>
          <cell r="C107" t="str">
            <v>Checking Activity Pending Debits Start Over DTMF* during play, DTMF* 0395, &amp; 0395 DTMF9 to MM</v>
          </cell>
          <cell r="D107" t="str">
            <v>SEE CK20</v>
          </cell>
          <cell r="E107">
            <v>0</v>
          </cell>
          <cell r="F107">
            <v>0</v>
          </cell>
        </row>
        <row r="108">
          <cell r="A108" t="str">
            <v>CK25</v>
          </cell>
          <cell r="B108">
            <v>0</v>
          </cell>
          <cell r="C108" t="str">
            <v>Pending Debits Menu DTMF0 CSRvice Xfer</v>
          </cell>
          <cell r="D108" t="str">
            <v>SEE CK21</v>
          </cell>
          <cell r="E108">
            <v>0</v>
          </cell>
          <cell r="F108">
            <v>0</v>
          </cell>
        </row>
        <row r="109">
          <cell r="A109" t="str">
            <v>CK26</v>
          </cell>
          <cell r="B109">
            <v>0</v>
          </cell>
          <cell r="C109" t="str">
            <v xml:space="preserve"> Pending Debits Menu Return to Checking Menu</v>
          </cell>
          <cell r="D109" t="str">
            <v>SEE CK21</v>
          </cell>
          <cell r="E109">
            <v>0</v>
          </cell>
          <cell r="F109">
            <v>0</v>
          </cell>
        </row>
        <row r="110">
          <cell r="A110" t="str">
            <v>CK27</v>
          </cell>
          <cell r="B110">
            <v>0</v>
          </cell>
          <cell r="C110" t="str">
            <v xml:space="preserve">Pending Debits Menu Enter a new Acct </v>
          </cell>
          <cell r="D110" t="str">
            <v>SEE CK22</v>
          </cell>
          <cell r="E110">
            <v>0</v>
          </cell>
          <cell r="F110">
            <v>0</v>
          </cell>
        </row>
        <row r="111">
          <cell r="A111" t="str">
            <v>CK28</v>
          </cell>
          <cell r="B111">
            <v>0</v>
          </cell>
          <cell r="C111" t="str">
            <v>Checking Activity Pending Debits Play Multiple Tran Code Types in Single 10 play through</v>
          </cell>
          <cell r="D111" t="str">
            <v xml:space="preserve">SEE CK20, 21, 22, &amp; 23 </v>
          </cell>
          <cell r="E111">
            <v>0</v>
          </cell>
          <cell r="F111">
            <v>0</v>
          </cell>
        </row>
        <row r="112">
          <cell r="A112" t="str">
            <v>CK29</v>
          </cell>
          <cell r="B112">
            <v>0</v>
          </cell>
          <cell r="C112" t="str">
            <v>Checking Activity Pending Debits CC02 Tran Code 80 Skip spoken to more records</v>
          </cell>
          <cell r="D112" t="str">
            <v xml:space="preserve">SEE CK20, 21, 22, &amp; 23 </v>
          </cell>
          <cell r="E112">
            <v>0</v>
          </cell>
          <cell r="F112">
            <v>0</v>
          </cell>
        </row>
        <row r="113">
          <cell r="A113" t="str">
            <v>CK30</v>
          </cell>
          <cell r="B113">
            <v>0</v>
          </cell>
          <cell r="C113" t="str">
            <v>Checking Activity Pending Debits No Pending Debits CC02 NoData + 0310 DTMF8 Checking &amp; DTMF0 CSRvice Xfer</v>
          </cell>
          <cell r="D113" t="str">
            <v>Client: Minumum 1 Checking - CC02 NoData</v>
          </cell>
          <cell r="E113">
            <v>0</v>
          </cell>
          <cell r="F113">
            <v>0</v>
          </cell>
        </row>
        <row r="114">
          <cell r="A114" t="str">
            <v>CK31</v>
          </cell>
          <cell r="B114">
            <v>0</v>
          </cell>
          <cell r="C114" t="str">
            <v>Checking Activity Pending Debits CC02 Failure Xfer</v>
          </cell>
          <cell r="D114" t="str">
            <v>Client: Minumum 1 Checking - CC02 Failure (developer assist)</v>
          </cell>
          <cell r="E114">
            <v>0</v>
          </cell>
          <cell r="F114">
            <v>0</v>
          </cell>
        </row>
        <row r="115">
          <cell r="A115" t="str">
            <v>CK32</v>
          </cell>
          <cell r="B115">
            <v>0</v>
          </cell>
          <cell r="C115" t="str">
            <v>Checking Activity Credits for ATM Credit + Repeat, DTMF8 Checking Menu, DTMF9 MM, DTMF7 New Acct#, &amp; DTMF 0 CSRvice Xfer</v>
          </cell>
          <cell r="D115" t="str">
            <v>Client: Minimum 2 Checking - WS13 tran code 0007 - Has more than 5 transactions</v>
          </cell>
          <cell r="E115">
            <v>0</v>
          </cell>
          <cell r="F115">
            <v>0</v>
          </cell>
        </row>
        <row r="116">
          <cell r="A116" t="str">
            <v>CK33</v>
          </cell>
          <cell r="B116">
            <v>0</v>
          </cell>
          <cell r="C116" t="str">
            <v>Checking Activity Credits for A Deposit + Play through to &lt; 5, Repeat, DTMF8 Checkin, DTMF9 MM, &amp; DTMF1 0337 no more response</v>
          </cell>
          <cell r="D116" t="str">
            <v>Client: Minimum 2 Checking - WS13 tran code 0012 - Has more than 5 transactions</v>
          </cell>
          <cell r="E116">
            <v>0</v>
          </cell>
          <cell r="F116">
            <v>0</v>
          </cell>
        </row>
        <row r="117">
          <cell r="A117" t="str">
            <v>CK34</v>
          </cell>
          <cell r="B117">
            <v>0</v>
          </cell>
          <cell r="C117" t="str">
            <v>Checking Activity Credits for a Credit + 0337 DTMF7 New Acct# and back to 0337 DTMF 0 CSRvice Xfer</v>
          </cell>
          <cell r="D117" t="str">
            <v>Client: Minimum 2 Checking - WS13 tran code NOT 0007 or 0012 "Else" - Has more than 5 transactions</v>
          </cell>
          <cell r="E117">
            <v>0</v>
          </cell>
          <cell r="F117">
            <v>0</v>
          </cell>
        </row>
        <row r="118">
          <cell r="A118" t="str">
            <v>CK35</v>
          </cell>
          <cell r="B118">
            <v>0</v>
          </cell>
          <cell r="C118" t="str">
            <v>Checking Activity Credits &gt; 5 Records Repeat DTMF0 CSRvice</v>
          </cell>
          <cell r="D118" t="str">
            <v>SEE CK 32</v>
          </cell>
          <cell r="E118">
            <v>0</v>
          </cell>
          <cell r="F118">
            <v>0</v>
          </cell>
        </row>
        <row r="119">
          <cell r="A119" t="str">
            <v>CK36</v>
          </cell>
          <cell r="B119">
            <v>0</v>
          </cell>
          <cell r="C119" t="str">
            <v>Checking Activity Credits &gt; 5 Records to Checking Menu</v>
          </cell>
          <cell r="D119" t="str">
            <v>SEE CK32</v>
          </cell>
          <cell r="E119">
            <v>0</v>
          </cell>
          <cell r="F119">
            <v>0</v>
          </cell>
        </row>
        <row r="120">
          <cell r="A120" t="str">
            <v>CK37</v>
          </cell>
          <cell r="B120">
            <v>0</v>
          </cell>
          <cell r="C120" t="str">
            <v>Checking Activity Credits &gt; 5 Records to Enter a new Account &amp; Return to Checking</v>
          </cell>
          <cell r="D120" t="str">
            <v>SEE CK32</v>
          </cell>
          <cell r="E120">
            <v>0</v>
          </cell>
          <cell r="F120">
            <v>0</v>
          </cell>
        </row>
        <row r="121">
          <cell r="A121" t="str">
            <v>CK38</v>
          </cell>
          <cell r="B121">
            <v>0</v>
          </cell>
          <cell r="C121" t="str">
            <v>Checking Activity Credits &gt; 5 Records Play Next 5 Credits/Deposits until No Others left</v>
          </cell>
          <cell r="D121" t="str">
            <v>SEE CK 33</v>
          </cell>
          <cell r="E121">
            <v>0</v>
          </cell>
          <cell r="F121">
            <v>0</v>
          </cell>
        </row>
        <row r="122">
          <cell r="A122" t="str">
            <v>CK39</v>
          </cell>
          <cell r="B122">
            <v>0</v>
          </cell>
          <cell r="C122" t="str">
            <v>Checking Activity Credits &lt; 5 Records Repeat DTMF0 CSRvice</v>
          </cell>
          <cell r="D122" t="str">
            <v>SEE CK33/34</v>
          </cell>
          <cell r="E122">
            <v>0</v>
          </cell>
          <cell r="F122">
            <v>0</v>
          </cell>
        </row>
        <row r="123">
          <cell r="A123" t="str">
            <v>CK40</v>
          </cell>
          <cell r="B123">
            <v>0</v>
          </cell>
          <cell r="C123" t="str">
            <v>Checking Activity Credits &lt; 5 Records DTMF9 to MM Landing</v>
          </cell>
          <cell r="D123" t="str">
            <v>SEE CK33</v>
          </cell>
          <cell r="E123">
            <v>0</v>
          </cell>
          <cell r="F123">
            <v>0</v>
          </cell>
        </row>
        <row r="124">
          <cell r="A124" t="str">
            <v>CK41</v>
          </cell>
          <cell r="B124">
            <v>0</v>
          </cell>
          <cell r="C124" t="str">
            <v>Checking Activity Credits &lt; 5 Records to Checking Menu</v>
          </cell>
          <cell r="D124" t="str">
            <v>SEE CK33</v>
          </cell>
          <cell r="E124">
            <v>0</v>
          </cell>
          <cell r="F124">
            <v>0</v>
          </cell>
        </row>
        <row r="125">
          <cell r="A125" t="str">
            <v>CK42</v>
          </cell>
          <cell r="B125">
            <v>0</v>
          </cell>
          <cell r="C125" t="str">
            <v>Checking Activity Credits Initial &lt; 5 TranList 0337  Landing</v>
          </cell>
          <cell r="D125" t="str">
            <v>Hard to Produce - will require account with less 5 credit transactions on acct</v>
          </cell>
          <cell r="E125">
            <v>0</v>
          </cell>
          <cell r="F125">
            <v>0</v>
          </cell>
        </row>
        <row r="126">
          <cell r="A126" t="str">
            <v>CK43</v>
          </cell>
          <cell r="B126">
            <v>0</v>
          </cell>
          <cell r="C126" t="str">
            <v>Checking Activity Credits &lt; 5 Records DTMF1 attempt to play more records</v>
          </cell>
          <cell r="D126" t="str">
            <v>SEE CK33</v>
          </cell>
          <cell r="E126">
            <v>0</v>
          </cell>
          <cell r="F126">
            <v>0</v>
          </cell>
        </row>
        <row r="127">
          <cell r="A127" t="str">
            <v>CK44</v>
          </cell>
          <cell r="B127">
            <v>0</v>
          </cell>
          <cell r="C127" t="str">
            <v>Checking Activity Credits Play Multiple Tran Code Types in Single 5 play through</v>
          </cell>
          <cell r="D127" t="str">
            <v>SEE CK32/33/34 - Incorporated in one or many</v>
          </cell>
          <cell r="E127">
            <v>0</v>
          </cell>
          <cell r="F127">
            <v>0</v>
          </cell>
        </row>
        <row r="128">
          <cell r="A128" t="str">
            <v>CK45</v>
          </cell>
          <cell r="B128">
            <v>0</v>
          </cell>
          <cell r="C128" t="str">
            <v>Checking Activity Credits Play 0339  TranList Not &lt; 5 &amp; WS13 MoreRecordsFlag "else"</v>
          </cell>
          <cell r="D128" t="str">
            <v>Hard to Produce - will require account with total transaction count that can be broken down successfully into groups of 5.</v>
          </cell>
          <cell r="E128">
            <v>0</v>
          </cell>
          <cell r="F128">
            <v>0</v>
          </cell>
        </row>
        <row r="129">
          <cell r="A129" t="str">
            <v>CK46</v>
          </cell>
          <cell r="B129">
            <v>0</v>
          </cell>
          <cell r="C129" t="str">
            <v>Checking Activity Credits No Deposits or Credits WS13 No Data + 0310 DTMF7 New Acct#</v>
          </cell>
          <cell r="D129" t="str">
            <v>Client: Minimum 1 Checking - WS13 No Data Response</v>
          </cell>
          <cell r="E129">
            <v>0</v>
          </cell>
          <cell r="F129">
            <v>0</v>
          </cell>
        </row>
        <row r="130">
          <cell r="A130" t="str">
            <v>CK47</v>
          </cell>
          <cell r="B130">
            <v>0</v>
          </cell>
          <cell r="C130" t="str">
            <v xml:space="preserve">Checking Activity Pending Credits for a Direct Deposit + Repeat, </v>
          </cell>
          <cell r="D130" t="str">
            <v>Client: Minimum 1 Checking - CC02 tran code 0007</v>
          </cell>
          <cell r="E130">
            <v>0</v>
          </cell>
          <cell r="F130">
            <v>0</v>
          </cell>
        </row>
        <row r="131">
          <cell r="A131" t="str">
            <v>CK48</v>
          </cell>
          <cell r="B131">
            <v>0</v>
          </cell>
          <cell r="C131" t="str">
            <v>Checking Activity Pending Credits for A Deposit</v>
          </cell>
          <cell r="D131" t="str">
            <v>Client: Minimum 1 Checking - CC02 tran code 0012</v>
          </cell>
          <cell r="E131">
            <v>0</v>
          </cell>
          <cell r="F131">
            <v>0</v>
          </cell>
        </row>
        <row r="132">
          <cell r="A132" t="str">
            <v>CK49</v>
          </cell>
          <cell r="B132">
            <v>0</v>
          </cell>
          <cell r="C132" t="str">
            <v>Checking Activity Pending Credits for a Credit</v>
          </cell>
          <cell r="D132" t="str">
            <v>Client: Minimum 1 Checking - CC02 tran code else (not 0007/0012)</v>
          </cell>
          <cell r="E132">
            <v>0</v>
          </cell>
          <cell r="F132">
            <v>0</v>
          </cell>
        </row>
        <row r="133">
          <cell r="A133" t="str">
            <v>CK50</v>
          </cell>
          <cell r="B133">
            <v>0</v>
          </cell>
          <cell r="C133" t="str">
            <v>Checking Activity Pending Credits Repeat DTMF0 CSRvice</v>
          </cell>
          <cell r="D133" t="str">
            <v>SEE CK47</v>
          </cell>
          <cell r="E133">
            <v>0</v>
          </cell>
          <cell r="F133">
            <v>0</v>
          </cell>
        </row>
        <row r="134">
          <cell r="A134" t="str">
            <v>CK51</v>
          </cell>
          <cell r="B134">
            <v>0</v>
          </cell>
          <cell r="C134" t="str">
            <v>Checking Activity Pending Credits DTMF* Start over during play, DTMF* 0335, &amp; 0335 DTMF9 to MM</v>
          </cell>
          <cell r="D134" t="str">
            <v>SEE CK47/CK48/49</v>
          </cell>
          <cell r="E134">
            <v>0</v>
          </cell>
          <cell r="F134">
            <v>0</v>
          </cell>
        </row>
        <row r="135">
          <cell r="A135" t="str">
            <v>CK52</v>
          </cell>
          <cell r="B135">
            <v>0</v>
          </cell>
          <cell r="C135" t="str">
            <v>Checking Activity Pending Credits to Checking Menu</v>
          </cell>
          <cell r="D135" t="str">
            <v>SEE CK47</v>
          </cell>
          <cell r="E135">
            <v>0</v>
          </cell>
          <cell r="F135">
            <v>0</v>
          </cell>
        </row>
        <row r="136">
          <cell r="A136" t="str">
            <v>CK53</v>
          </cell>
          <cell r="B136">
            <v>0</v>
          </cell>
          <cell r="C136" t="str">
            <v>Checking Activity Pending Credits to Enter a new Account &amp; Return to Checking</v>
          </cell>
          <cell r="D136" t="str">
            <v>SEE CK49</v>
          </cell>
          <cell r="E136">
            <v>0</v>
          </cell>
          <cell r="F136">
            <v>0</v>
          </cell>
        </row>
        <row r="137">
          <cell r="A137" t="str">
            <v>CK54</v>
          </cell>
          <cell r="B137">
            <v>0</v>
          </cell>
          <cell r="C137" t="str">
            <v>Checking Activity Pending Credits Play Multiple Tran Code Types in Single 5 play through</v>
          </cell>
          <cell r="D137" t="str">
            <v>SEE CK47/48/49</v>
          </cell>
          <cell r="E137">
            <v>0</v>
          </cell>
          <cell r="F137">
            <v>0</v>
          </cell>
        </row>
        <row r="138">
          <cell r="A138" t="str">
            <v>CK55</v>
          </cell>
          <cell r="B138">
            <v>0</v>
          </cell>
          <cell r="C138" t="str">
            <v>Checking Activity Interest Info $0 interest YTD &amp; prior year to DTMF8 Goto Check Menu from Activity Menu</v>
          </cell>
          <cell r="D138" t="str">
            <v>Client: Minimum 1 Checking - any Transactions - Interest $0 Current &amp; Prior YTD</v>
          </cell>
          <cell r="E138">
            <v>0</v>
          </cell>
          <cell r="F138">
            <v>0</v>
          </cell>
        </row>
        <row r="139">
          <cell r="A139" t="str">
            <v>CK56</v>
          </cell>
          <cell r="B139">
            <v>0</v>
          </cell>
          <cell r="C139" t="str">
            <v>Checking Activity Interest Info $0 interest YTD &amp;  Else Interest Prior Year to DTMF9 Goto MM from Activity Menu</v>
          </cell>
          <cell r="D139" t="str">
            <v xml:space="preserve">Client: Minimum 1 Checking - any Transactions - Interest $0 Current &amp; &gt;0 Prior </v>
          </cell>
          <cell r="E139">
            <v>0</v>
          </cell>
          <cell r="F139">
            <v>0</v>
          </cell>
        </row>
        <row r="140">
          <cell r="A140" t="str">
            <v>CK57</v>
          </cell>
          <cell r="B140">
            <v>0</v>
          </cell>
          <cell r="C140" t="str">
            <v>Checking Activity Interest Info Null YTD to DTMF7 Enter new Account on Activity Menu</v>
          </cell>
          <cell r="D140" t="str">
            <v>Client: Minimum 1 Checking - any Transactions - Null Response WS09 Int YTD</v>
          </cell>
          <cell r="E140">
            <v>0</v>
          </cell>
          <cell r="F140">
            <v>0</v>
          </cell>
        </row>
        <row r="141">
          <cell r="A141" t="str">
            <v>CK58</v>
          </cell>
          <cell r="B141">
            <v>0</v>
          </cell>
          <cell r="C141" t="str">
            <v>Checking Activity Interest Info else YTD Interest &amp; $0.00 Prior Year to DTMF0 CSRvice Xfer on Activity Menu</v>
          </cell>
          <cell r="D141" t="str">
            <v xml:space="preserve">Client: Minimum 1 Checking - any Transactions - Interest &gt;0 Current &amp; $0 Prior </v>
          </cell>
          <cell r="E141">
            <v>0</v>
          </cell>
          <cell r="F141">
            <v>0</v>
          </cell>
        </row>
        <row r="142">
          <cell r="A142" t="str">
            <v>CK59</v>
          </cell>
          <cell r="B142">
            <v>0</v>
          </cell>
          <cell r="C142" t="str">
            <v>Checking Activity Interest Info else Interest YTD &amp; else Prior Year</v>
          </cell>
          <cell r="D142" t="str">
            <v xml:space="preserve">Client: Minimum 1 Checking - any Transactions - Interest  &gt;0 Current &amp; Prior </v>
          </cell>
          <cell r="E142">
            <v>0</v>
          </cell>
          <cell r="F142">
            <v>0</v>
          </cell>
        </row>
        <row r="143">
          <cell r="A143" t="str">
            <v>CK60</v>
          </cell>
          <cell r="B143">
            <v>0</v>
          </cell>
          <cell r="C143" t="str">
            <v>Checking Amt Inquiry Search Check# NoData Repeat to DTMF0 CSRvice Xfer on Check Inq Menu</v>
          </cell>
          <cell r="D143" t="str">
            <v xml:space="preserve">Client: Minimum 1 Checking </v>
          </cell>
          <cell r="E143">
            <v>0</v>
          </cell>
          <cell r="F143">
            <v>0</v>
          </cell>
        </row>
        <row r="144">
          <cell r="A144" t="str">
            <v>CK61</v>
          </cell>
          <cell r="B144">
            <v>0</v>
          </cell>
          <cell r="C144" t="str">
            <v>Checking Amt Inquiry Search Check# Found Repeat to DTMF9 Goto MM from Check Inq Menu</v>
          </cell>
          <cell r="D144" t="str">
            <v>Client: Minimum 1 Checking - Recent Check#</v>
          </cell>
          <cell r="E144">
            <v>0</v>
          </cell>
          <cell r="F144">
            <v>0</v>
          </cell>
        </row>
        <row r="145">
          <cell r="A145" t="str">
            <v>CK62</v>
          </cell>
          <cell r="B145">
            <v>0</v>
          </cell>
          <cell r="C145" t="str">
            <v>Checking Amt Inquiry Search Check# NoData then Found recover to DTMF8 return to Checking Menu</v>
          </cell>
          <cell r="D145" t="str">
            <v>Client: Minimum 1 Checking - Recent Check#</v>
          </cell>
          <cell r="E145">
            <v>0</v>
          </cell>
          <cell r="F145">
            <v>0</v>
          </cell>
        </row>
        <row r="146">
          <cell r="A146" t="str">
            <v>CK63</v>
          </cell>
          <cell r="B146">
            <v>0</v>
          </cell>
          <cell r="C146" t="str">
            <v>Checking Amt Inquiry Search Check# NoData to DTMF7 Enter New Acct from Check Inq Menu</v>
          </cell>
          <cell r="D146" t="str">
            <v xml:space="preserve">Client: Minimum 1 Checking </v>
          </cell>
          <cell r="E146">
            <v>0</v>
          </cell>
          <cell r="F146">
            <v>0</v>
          </cell>
        </row>
        <row r="147">
          <cell r="A147" t="str">
            <v>CK64</v>
          </cell>
          <cell r="B147">
            <v>0</v>
          </cell>
          <cell r="C147" t="str">
            <v>Checking Amt Inquiry Specific Amt 2+ Found Repeat to DTMF2 Search another Amt</v>
          </cell>
          <cell r="D147" t="str">
            <v>Client: Minimum 1 Checking - Recent Check/Withdrawal 2+ similar amts</v>
          </cell>
          <cell r="E147">
            <v>0</v>
          </cell>
          <cell r="F147">
            <v>0</v>
          </cell>
        </row>
        <row r="148">
          <cell r="A148" t="str">
            <v>CK65</v>
          </cell>
          <cell r="B148">
            <v>0</v>
          </cell>
          <cell r="C148" t="str">
            <v>Checking Amt Inquiry Specific Amt 2+ Found to DTMF7 Enter New Acct landing</v>
          </cell>
          <cell r="D148" t="str">
            <v>Client: Minimum 1 Checking - Recent Check/Withdrawal 2+ similar amts</v>
          </cell>
          <cell r="E148">
            <v>0</v>
          </cell>
          <cell r="F148">
            <v>0</v>
          </cell>
        </row>
        <row r="149">
          <cell r="A149" t="str">
            <v>CK66</v>
          </cell>
          <cell r="B149">
            <v>0</v>
          </cell>
          <cell r="C149" t="str">
            <v xml:space="preserve">Checking Amt Inquiry Specific Amt 2+ Found to DTMF8 Checking Menu </v>
          </cell>
          <cell r="D149" t="str">
            <v>Client: Minimum 1 Checking - Recent Check/Withdrawal 2+ similar amts</v>
          </cell>
          <cell r="E149">
            <v>0</v>
          </cell>
          <cell r="F149">
            <v>0</v>
          </cell>
        </row>
        <row r="150">
          <cell r="A150" t="str">
            <v>CK67</v>
          </cell>
          <cell r="B150">
            <v>0</v>
          </cell>
          <cell r="C150" t="str">
            <v xml:space="preserve">Checking Amt Inquiry Specific Amt 2+ found to DTMF9 Goto MM </v>
          </cell>
          <cell r="D150" t="str">
            <v>Client: Minimum 1 Checking - Recent Check/Withdrawal 2+ similar amts</v>
          </cell>
          <cell r="E150">
            <v>0</v>
          </cell>
          <cell r="F150">
            <v>0</v>
          </cell>
        </row>
        <row r="151">
          <cell r="A151" t="str">
            <v>CK68</v>
          </cell>
          <cell r="B151">
            <v>0</v>
          </cell>
          <cell r="C151" t="str">
            <v>Checking Amt Inquiry Specific Amt 2+ found to DTMF0 CSRvice Xfer</v>
          </cell>
          <cell r="D151" t="str">
            <v>Client: Minimum 1 Checking - Recent Check/Withdrawal 2+ similar amts</v>
          </cell>
          <cell r="E151">
            <v>0</v>
          </cell>
          <cell r="F151">
            <v>0</v>
          </cell>
        </row>
        <row r="152">
          <cell r="A152" t="str">
            <v>CK69</v>
          </cell>
          <cell r="B152">
            <v>0</v>
          </cell>
          <cell r="C152" t="str">
            <v>Checking Amt Inquiry Specific Amt 2+ found DTMF1 Next check until last to DTMF* 0359 Repeat</v>
          </cell>
          <cell r="D152" t="str">
            <v>Client: Minimum 1 Checking - Recent Check/Withdrawal 2+ similar amts</v>
          </cell>
          <cell r="E152">
            <v>0</v>
          </cell>
          <cell r="F152">
            <v>0</v>
          </cell>
        </row>
        <row r="153">
          <cell r="A153" t="str">
            <v>CK70</v>
          </cell>
          <cell r="B153">
            <v>0</v>
          </cell>
          <cell r="C153" t="str">
            <v>Checking Amt Inquiry Specific Amt 1 Found Repeat to DTMF1 Check Amt Inquiry Menu Landing</v>
          </cell>
          <cell r="D153" t="str">
            <v>Client: Minimum 1 Checking - Recent Check/Withdrawal unique amt</v>
          </cell>
          <cell r="E153">
            <v>0</v>
          </cell>
          <cell r="F153">
            <v>0</v>
          </cell>
        </row>
        <row r="154">
          <cell r="A154" t="str">
            <v>CK71</v>
          </cell>
          <cell r="B154">
            <v>0</v>
          </cell>
          <cell r="C154" t="str">
            <v>Checking Amt Inquiry Specific Amt NotFound to DTMF7 Enter New Acct Landing</v>
          </cell>
          <cell r="D154" t="str">
            <v xml:space="preserve">Client: Minimum 1 Checking </v>
          </cell>
          <cell r="E154">
            <v>0</v>
          </cell>
          <cell r="F154">
            <v>0</v>
          </cell>
        </row>
        <row r="155">
          <cell r="A155" t="str">
            <v>CK72</v>
          </cell>
          <cell r="B155">
            <v>0</v>
          </cell>
          <cell r="C155" t="str">
            <v>Checking Amt Inquiry Specific Amt NotFound Repeat to DTMF8 Checking Menu Landing</v>
          </cell>
          <cell r="D155" t="str">
            <v xml:space="preserve">Client: Minimum 1 Checking </v>
          </cell>
          <cell r="E155">
            <v>0</v>
          </cell>
          <cell r="F155">
            <v>0</v>
          </cell>
        </row>
        <row r="156">
          <cell r="A156" t="str">
            <v>CK73</v>
          </cell>
          <cell r="B156">
            <v>0</v>
          </cell>
          <cell r="C156" t="str">
            <v>Checking Amt Inquiry Specific Amt NotFound to DTMF9 Goto MM</v>
          </cell>
          <cell r="D156" t="str">
            <v xml:space="preserve">Client: Minimum 1 Checking </v>
          </cell>
          <cell r="E156">
            <v>0</v>
          </cell>
          <cell r="F156">
            <v>0</v>
          </cell>
        </row>
        <row r="157">
          <cell r="A157" t="str">
            <v>CK74</v>
          </cell>
          <cell r="B157">
            <v>0</v>
          </cell>
          <cell r="C157" t="str">
            <v>Checking Amt Inquiry Specific Amt NotFound to DTMF0 CSRvice XFER</v>
          </cell>
          <cell r="D157" t="str">
            <v xml:space="preserve">Client: Minimum 1 Checking </v>
          </cell>
          <cell r="E157">
            <v>0</v>
          </cell>
          <cell r="F157">
            <v>0</v>
          </cell>
        </row>
        <row r="158">
          <cell r="A158" t="str">
            <v>CK75</v>
          </cell>
          <cell r="B158">
            <v>0</v>
          </cell>
          <cell r="C158" t="str">
            <v xml:space="preserve">Checking Amt Inquiry DTMF7 Enter New Acct Landing </v>
          </cell>
          <cell r="D158" t="str">
            <v xml:space="preserve">Client: Minimum 1 Checking </v>
          </cell>
          <cell r="E158">
            <v>0</v>
          </cell>
          <cell r="F158">
            <v>0</v>
          </cell>
        </row>
        <row r="159">
          <cell r="A159" t="str">
            <v>CK76</v>
          </cell>
          <cell r="B159">
            <v>0</v>
          </cell>
          <cell r="C159" t="str">
            <v xml:space="preserve">Checking Amt Inquiry DTMF8 Checking Menu landing </v>
          </cell>
          <cell r="D159" t="str">
            <v xml:space="preserve">Client: Minimum 1 Checking </v>
          </cell>
          <cell r="E159">
            <v>0</v>
          </cell>
          <cell r="F159">
            <v>0</v>
          </cell>
        </row>
        <row r="160">
          <cell r="A160" t="str">
            <v>CK77</v>
          </cell>
          <cell r="B160">
            <v>0</v>
          </cell>
          <cell r="C160" t="str">
            <v>Checking Amt Inquiry DTMF9 Goto MM Landing</v>
          </cell>
          <cell r="D160" t="str">
            <v xml:space="preserve">Client: Minimum 1 Checking </v>
          </cell>
          <cell r="E160">
            <v>0</v>
          </cell>
          <cell r="F160">
            <v>0</v>
          </cell>
        </row>
        <row r="161">
          <cell r="A161" t="str">
            <v>CK78</v>
          </cell>
          <cell r="B161">
            <v>0</v>
          </cell>
          <cell r="C161" t="str">
            <v>Checking Amt Inquiry DTMF0 CSRvice Xfer</v>
          </cell>
          <cell r="D161" t="str">
            <v xml:space="preserve">Client: Minimum 1 Checking </v>
          </cell>
          <cell r="E161">
            <v>0</v>
          </cell>
          <cell r="F161">
            <v>0</v>
          </cell>
        </row>
        <row r="162">
          <cell r="A162" t="str">
            <v>CK79</v>
          </cell>
          <cell r="B162">
            <v>0</v>
          </cell>
          <cell r="C162" t="str">
            <v>Checking Handy Line Info Access Line Type to Xfer</v>
          </cell>
          <cell r="D162" t="str">
            <v>Access Line type account</v>
          </cell>
          <cell r="E162">
            <v>0</v>
          </cell>
          <cell r="F162">
            <v>0</v>
          </cell>
        </row>
        <row r="163">
          <cell r="A163" t="str">
            <v>CK80</v>
          </cell>
          <cell r="B163">
            <v>0</v>
          </cell>
          <cell r="C163" t="str">
            <v>Checking Handy Line Not on Acct to DTMF1 More Information Xfer</v>
          </cell>
          <cell r="D163" t="str">
            <v>Client: Minimum 1 Checking - Acct with no HandyLine</v>
          </cell>
          <cell r="E163">
            <v>0</v>
          </cell>
          <cell r="F163">
            <v>0</v>
          </cell>
        </row>
        <row r="164">
          <cell r="A164" t="str">
            <v>CK81</v>
          </cell>
          <cell r="B164">
            <v>0</v>
          </cell>
          <cell r="C164" t="str">
            <v>Checking Handly Line Not on Acct to DTMF7 Enter New Acct Landing</v>
          </cell>
          <cell r="D164" t="str">
            <v>Client: Minimum 1 Checking - Acct with no HandyLine</v>
          </cell>
          <cell r="E164">
            <v>0</v>
          </cell>
          <cell r="F164">
            <v>0</v>
          </cell>
        </row>
        <row r="165">
          <cell r="A165" t="str">
            <v>CK82</v>
          </cell>
          <cell r="B165">
            <v>0</v>
          </cell>
          <cell r="C165" t="str">
            <v>Checking Handly Line Not on Acct to DTMF8 Checking Menu Landing</v>
          </cell>
          <cell r="D165" t="str">
            <v>Client: Minimum 1 Checking - Acct with no HandyLine</v>
          </cell>
          <cell r="E165">
            <v>0</v>
          </cell>
          <cell r="F165">
            <v>0</v>
          </cell>
        </row>
        <row r="166">
          <cell r="A166" t="str">
            <v>CK83</v>
          </cell>
          <cell r="B166">
            <v>0</v>
          </cell>
          <cell r="C166" t="str">
            <v>Checking Handly Line Not on Acct to DTMF9 Goto MM Landing</v>
          </cell>
          <cell r="D166" t="str">
            <v>Client: Minimum 1 Checking - Acct with no HandyLine</v>
          </cell>
          <cell r="E166">
            <v>0</v>
          </cell>
          <cell r="F166">
            <v>0</v>
          </cell>
        </row>
        <row r="167">
          <cell r="A167" t="str">
            <v>CK84</v>
          </cell>
          <cell r="B167">
            <v>0</v>
          </cell>
          <cell r="C167" t="str">
            <v>Checking Handly Line Not on Acct to DTMF0 CSRvice Xfer</v>
          </cell>
          <cell r="D167" t="str">
            <v>Client: Minimum 1 Checking - Acct with no HandyLine</v>
          </cell>
          <cell r="E167">
            <v>0</v>
          </cell>
          <cell r="F167">
            <v>0</v>
          </cell>
        </row>
        <row r="168">
          <cell r="A168" t="str">
            <v>CK85</v>
          </cell>
          <cell r="B168">
            <v>0</v>
          </cell>
          <cell r="C168" t="str">
            <v>Checking Handy Line ON Acct status $0 Balance  &amp; $0 available &amp; $0 Pmt Due</v>
          </cell>
          <cell r="D168" t="str">
            <v>Client: Minimum 1 Checking - Acct has HandyLine: 0 Balance Amt, 0 Available, 0 Payment Due</v>
          </cell>
          <cell r="E168">
            <v>0</v>
          </cell>
          <cell r="F168">
            <v>0</v>
          </cell>
        </row>
        <row r="169">
          <cell r="A169" t="str">
            <v>CK86</v>
          </cell>
          <cell r="B169">
            <v>0</v>
          </cell>
          <cell r="C169" t="str">
            <v>Checking Handy Line ON Acct status $0 Balance  &amp; HAS available &amp; $0 Pmt Due to DTMF7 Enter New Acct Landing</v>
          </cell>
          <cell r="D169" t="str">
            <v>Client: Minimum 1 Checking - Acct has HandyLine: 0 Balance Amt, HAS Available, 0 Payment Due</v>
          </cell>
          <cell r="E169">
            <v>0</v>
          </cell>
          <cell r="F169">
            <v>0</v>
          </cell>
        </row>
        <row r="170">
          <cell r="A170" t="str">
            <v>CK87</v>
          </cell>
          <cell r="B170">
            <v>0</v>
          </cell>
          <cell r="C170" t="str">
            <v>Checking Handy Line ON Acct status HAS Balance  &amp; $0 available &amp; $0 Pmt Due to DTMF8 Checking Menu Landing</v>
          </cell>
          <cell r="D170" t="str">
            <v>Client: Minimum 1 Checking - Acct has HandyLine: HAS Balance Amt, 0 Available, 0 Payment Due</v>
          </cell>
          <cell r="E170">
            <v>0</v>
          </cell>
          <cell r="F170">
            <v>0</v>
          </cell>
        </row>
        <row r="171">
          <cell r="A171" t="str">
            <v>CK88</v>
          </cell>
          <cell r="B171">
            <v>0</v>
          </cell>
          <cell r="C171" t="str">
            <v>Checking Handy Line ON Acct status HAS Balance  &amp; $0 available &amp; HAS Pmt Due to DTMF9 Goto MM Landing</v>
          </cell>
          <cell r="D171" t="str">
            <v>Client: Minimum 1 Checking - Acct has HandyLine: HAS Balance Amt, 0 Available, HAS Payment Due</v>
          </cell>
          <cell r="E171">
            <v>0</v>
          </cell>
          <cell r="F171">
            <v>0</v>
          </cell>
        </row>
        <row r="172">
          <cell r="A172" t="str">
            <v>CK89</v>
          </cell>
          <cell r="B172">
            <v>0</v>
          </cell>
          <cell r="C172" t="str">
            <v>Checking Handy Line ON Acct status HAS Balance  &amp; HAS available &amp; HAS Pmt Due to DTMF0 CSRvice Xfer</v>
          </cell>
          <cell r="D172" t="str">
            <v>Client: Minimum 1 Checking - Acct has HandyLine: HAS Balance Amt, HAS Available, HAS Payment Due</v>
          </cell>
          <cell r="E172">
            <v>0</v>
          </cell>
          <cell r="F172">
            <v>0</v>
          </cell>
        </row>
        <row r="173">
          <cell r="A173" t="str">
            <v>CK90</v>
          </cell>
          <cell r="B173">
            <v>0</v>
          </cell>
          <cell r="C173" t="str">
            <v>Checking Handy Line ON Acct status HAS Balance  &amp; HAS available &amp; $0 Pmt Due Repeat</v>
          </cell>
          <cell r="D173" t="str">
            <v>SEE CK85</v>
          </cell>
          <cell r="E173">
            <v>0</v>
          </cell>
          <cell r="F173">
            <v>0</v>
          </cell>
        </row>
        <row r="174">
          <cell r="A174" t="str">
            <v>CK91</v>
          </cell>
          <cell r="B174">
            <v>0</v>
          </cell>
          <cell r="C174" t="str">
            <v>Checking Handy Line ON Acct status $0 Balance  &amp; HAS available &amp; HAS Pmt Due hangup</v>
          </cell>
          <cell r="D174" t="str">
            <v>Client: Minimum 1 Checking - Acct has HandyLine: 0 Balance Amt, HAS Available, HAS Payment Due</v>
          </cell>
          <cell r="E174">
            <v>0</v>
          </cell>
          <cell r="F174">
            <v>0</v>
          </cell>
        </row>
        <row r="175">
          <cell r="A175" t="str">
            <v>CK92</v>
          </cell>
          <cell r="B175">
            <v>0</v>
          </cell>
          <cell r="C175" t="str">
            <v>Checking Handy Line ON Acct status $0 Balance  &amp; $0 available &amp; HAS Pmt Due hangup</v>
          </cell>
          <cell r="D175" t="str">
            <v>Client: Minimum 1 Checking - Acct has HandyLine: 0 Balance Amt, 0 Available, HAS Payment Due</v>
          </cell>
          <cell r="E175">
            <v>0</v>
          </cell>
          <cell r="F175">
            <v>0</v>
          </cell>
        </row>
        <row r="176">
          <cell r="A176" t="str">
            <v>CK93</v>
          </cell>
          <cell r="B176">
            <v>0</v>
          </cell>
          <cell r="C176" t="str">
            <v xml:space="preserve">Checking Stop Pmt repeat all &amp; Confirm with Stop Payment </v>
          </cell>
          <cell r="D176" t="str">
            <v xml:space="preserve">Client: Minimum 1 Checking -  Check Amt, Check Number, Day Issued, &amp; Acct Phone # </v>
          </cell>
          <cell r="E176">
            <v>0</v>
          </cell>
          <cell r="F176">
            <v>0</v>
          </cell>
        </row>
        <row r="177">
          <cell r="A177" t="str">
            <v>CK94</v>
          </cell>
          <cell r="B177">
            <v>0</v>
          </cell>
          <cell r="C177" t="str">
            <v>Checking Stop Pmt Cancel and return to Check Menu</v>
          </cell>
          <cell r="D177" t="str">
            <v xml:space="preserve">Client: Minimum 1 Checking </v>
          </cell>
          <cell r="E177">
            <v>0</v>
          </cell>
          <cell r="F177">
            <v>0</v>
          </cell>
        </row>
        <row r="178">
          <cell r="A178" t="str">
            <v>CK95</v>
          </cell>
          <cell r="B178">
            <v>0</v>
          </cell>
          <cell r="C178" t="str">
            <v>Checking Stop Pmt to DTMF0 CSRvice from Confirm Stop Pay Menu</v>
          </cell>
          <cell r="D178" t="str">
            <v xml:space="preserve">Client: Minimum 1 Checking </v>
          </cell>
          <cell r="E178">
            <v>0</v>
          </cell>
          <cell r="F178">
            <v>0</v>
          </cell>
        </row>
        <row r="179">
          <cell r="A179" t="str">
            <v>CK96</v>
          </cell>
          <cell r="B179">
            <v>0</v>
          </cell>
          <cell r="C179" t="str">
            <v>Checking Stop Pmt Confirm &amp; WS14 NotFound/Error Xfer</v>
          </cell>
          <cell r="D179" t="str">
            <v xml:space="preserve">Client: Minimum 1 Checking </v>
          </cell>
          <cell r="E179">
            <v>0</v>
          </cell>
          <cell r="F179">
            <v>0</v>
          </cell>
        </row>
        <row r="180">
          <cell r="A180" t="str">
            <v>CK97</v>
          </cell>
          <cell r="B180">
            <v>0</v>
          </cell>
          <cell r="C180" t="str">
            <v>Checking DTMF5 Transfer Funds Menu Landing</v>
          </cell>
          <cell r="D180" t="str">
            <v xml:space="preserve">Client: Minimum 1 Checking </v>
          </cell>
          <cell r="E180">
            <v>0</v>
          </cell>
          <cell r="F180">
            <v>0</v>
          </cell>
        </row>
        <row r="181">
          <cell r="A181" t="str">
            <v>CK98</v>
          </cell>
          <cell r="B181">
            <v>0</v>
          </cell>
          <cell r="C181" t="str">
            <v>Checking DTMF6 Order Checks Xfer</v>
          </cell>
          <cell r="D181" t="str">
            <v xml:space="preserve">Client: Minimum 1 Checking </v>
          </cell>
          <cell r="E181">
            <v>0</v>
          </cell>
          <cell r="F181">
            <v>0</v>
          </cell>
        </row>
        <row r="182">
          <cell r="A182" t="str">
            <v>CK99</v>
          </cell>
          <cell r="B182">
            <v>0</v>
          </cell>
          <cell r="C182" t="str">
            <v>Checking DTMF7 Enter New Account Landing</v>
          </cell>
          <cell r="D182" t="str">
            <v xml:space="preserve">Client: Minimum 1 Checking </v>
          </cell>
          <cell r="E182">
            <v>0</v>
          </cell>
          <cell r="F182">
            <v>0</v>
          </cell>
        </row>
        <row r="183">
          <cell r="A183" t="str">
            <v>CK100</v>
          </cell>
          <cell r="B183">
            <v>0</v>
          </cell>
          <cell r="C183" t="str">
            <v>Checking DTMF9 Goto MM Landing</v>
          </cell>
          <cell r="D183" t="str">
            <v xml:space="preserve">Client: Minimum 1 Checking </v>
          </cell>
          <cell r="E183">
            <v>0</v>
          </cell>
          <cell r="F183">
            <v>0</v>
          </cell>
        </row>
        <row r="184">
          <cell r="A184" t="str">
            <v>CK101</v>
          </cell>
          <cell r="B184">
            <v>0</v>
          </cell>
          <cell r="C184" t="str">
            <v>Checking DTMF0 CSRvice xfer</v>
          </cell>
          <cell r="D184" t="str">
            <v xml:space="preserve">Client: Minimum 1 Checking </v>
          </cell>
          <cell r="E184">
            <v>0</v>
          </cell>
          <cell r="F184">
            <v>0</v>
          </cell>
        </row>
        <row r="185">
          <cell r="A185">
            <v>0</v>
          </cell>
          <cell r="B185">
            <v>0</v>
          </cell>
          <cell r="C185">
            <v>0</v>
          </cell>
          <cell r="D185">
            <v>0</v>
          </cell>
          <cell r="E185">
            <v>0</v>
          </cell>
          <cell r="F185">
            <v>0</v>
          </cell>
        </row>
        <row r="186">
          <cell r="A186" t="str">
            <v>Loans Test Cycle (LN#)</v>
          </cell>
          <cell r="B186">
            <v>0</v>
          </cell>
          <cell r="C186">
            <v>0</v>
          </cell>
          <cell r="D186">
            <v>0</v>
          </cell>
          <cell r="E186">
            <v>0</v>
          </cell>
          <cell r="F186">
            <v>0</v>
          </cell>
        </row>
        <row r="187">
          <cell r="A187" t="str">
            <v>LN01</v>
          </cell>
          <cell r="B187">
            <v>0</v>
          </cell>
          <cell r="C187" t="str">
            <v>Loans Real Estate 02/07 Xfer</v>
          </cell>
          <cell r="D187" t="str">
            <v>Client: Minimum 1 Loan Acct - Real Estate 02/07 type</v>
          </cell>
          <cell r="E187">
            <v>0</v>
          </cell>
          <cell r="F187">
            <v>0</v>
          </cell>
        </row>
        <row r="188">
          <cell r="A188" t="str">
            <v>LN02</v>
          </cell>
          <cell r="B188">
            <v>0</v>
          </cell>
          <cell r="C188" t="str">
            <v>Loans Real Estate Else xfer</v>
          </cell>
          <cell r="D188" t="str">
            <v>Client: Minimum 1 Loan Acct - Real Estate else (not 02/07) type</v>
          </cell>
          <cell r="E188">
            <v>0</v>
          </cell>
          <cell r="F188">
            <v>0</v>
          </cell>
        </row>
        <row r="189">
          <cell r="A189" t="str">
            <v>LN03</v>
          </cell>
          <cell r="B189">
            <v>0</v>
          </cell>
          <cell r="C189" t="str">
            <v>Loans Current Pmt &gt; $0 Past Due Repeat, Pmt Mailing Addr, &amp; DTFM3 Payoff Xfer</v>
          </cell>
          <cell r="D189" t="str">
            <v>Client: Minimum 1 Loan Acct - Not RE, Current Pmt &gt; 0, Past Due</v>
          </cell>
          <cell r="E189">
            <v>0</v>
          </cell>
          <cell r="F189">
            <v>0</v>
          </cell>
        </row>
        <row r="190">
          <cell r="A190" t="str">
            <v>LN04</v>
          </cell>
          <cell r="B190">
            <v>0</v>
          </cell>
          <cell r="C190" t="str">
            <v>Loans Current Pmt &gt; $0 NOT Past Due to DTMF7 Enter New Account Landing</v>
          </cell>
          <cell r="D190" t="str">
            <v>Client: Minimum 1 Loan Acct - Not RE, Current Pmt &gt; 0, NOT Past Due</v>
          </cell>
          <cell r="E190">
            <v>0</v>
          </cell>
          <cell r="F190">
            <v>0</v>
          </cell>
        </row>
        <row r="191">
          <cell r="A191" t="str">
            <v>LN05</v>
          </cell>
          <cell r="B191">
            <v>0</v>
          </cell>
          <cell r="C191" t="str">
            <v>Loans Current Pmt Not &gt; $0 Past Due to DTMF9 Goto MM Landing</v>
          </cell>
          <cell r="D191" t="str">
            <v>Client: Minimum 1 Loan Acct - Not RE, Current Pmt NOT &gt; 0, Past Due</v>
          </cell>
          <cell r="E191">
            <v>0</v>
          </cell>
          <cell r="F191">
            <v>0</v>
          </cell>
        </row>
        <row r="192">
          <cell r="A192" t="str">
            <v>LN06</v>
          </cell>
          <cell r="B192">
            <v>0</v>
          </cell>
          <cell r="C192" t="str">
            <v>Loans Current Pmt Not &gt; $0 NOT Past Due to DTMF0 CSRvice Xfer</v>
          </cell>
          <cell r="D192" t="str">
            <v>Client: Minimum 1 Loan Acct - Not RE, Current Pmt NOT &gt; 0, NOT Past Due</v>
          </cell>
          <cell r="E192">
            <v>0</v>
          </cell>
          <cell r="F192">
            <v>0</v>
          </cell>
        </row>
        <row r="193">
          <cell r="A193" t="str">
            <v>LN07</v>
          </cell>
          <cell r="B193">
            <v>0</v>
          </cell>
          <cell r="C193" t="str">
            <v>Loan Menu Make Payment MEM01 No Data 3X Xfer</v>
          </cell>
          <cell r="D193" t="str">
            <v>Client: Minimum 1 Loan Acct - Not RE, any pmt</v>
          </cell>
          <cell r="E193">
            <v>0</v>
          </cell>
          <cell r="F193">
            <v>0</v>
          </cell>
        </row>
        <row r="194">
          <cell r="A194" t="str">
            <v>LN08</v>
          </cell>
          <cell r="B194">
            <v>0</v>
          </cell>
          <cell r="C194" t="str">
            <v>Loan Menu Make Payment Failure/Error Xfer</v>
          </cell>
          <cell r="D194" t="str">
            <v>Developer Assist</v>
          </cell>
          <cell r="E194">
            <v>0</v>
          </cell>
          <cell r="F194">
            <v>0</v>
          </cell>
        </row>
        <row r="195">
          <cell r="A195" t="str">
            <v>LN09</v>
          </cell>
          <cell r="B195">
            <v>0</v>
          </cell>
          <cell r="C195" t="str">
            <v>Loan Menu Make Payment Inquiry/No Access Not Eligible 2X Xfer</v>
          </cell>
          <cell r="D195" t="str">
            <v>Client: Minimum 1 Loan Acct - Not RE, any pmt, Inquiry Only/No access MEM01 repsonse</v>
          </cell>
          <cell r="E195">
            <v>0</v>
          </cell>
          <cell r="F195">
            <v>0</v>
          </cell>
        </row>
        <row r="196">
          <cell r="A196" t="str">
            <v>LN10</v>
          </cell>
          <cell r="B196">
            <v>0</v>
          </cell>
          <cell r="C196" t="str">
            <v>Loan Menu Make Payment "else" Fail Xfer</v>
          </cell>
          <cell r="D196" t="str">
            <v>Developer Assist</v>
          </cell>
          <cell r="E196">
            <v>0</v>
          </cell>
          <cell r="F196">
            <v>0</v>
          </cell>
        </row>
        <row r="197">
          <cell r="A197" t="str">
            <v>LN11</v>
          </cell>
          <cell r="B197">
            <v>0</v>
          </cell>
          <cell r="C197" t="str">
            <v>Loan Menu Make Payment Full Access Cancel &amp; return to Loan Menu</v>
          </cell>
          <cell r="D197" t="str">
            <v>Client: Minimum 1 Loan Acct - Not RE, any pmt, Full Access MEM01</v>
          </cell>
          <cell r="E197">
            <v>0</v>
          </cell>
          <cell r="F197">
            <v>0</v>
          </cell>
        </row>
        <row r="198">
          <cell r="A198" t="str">
            <v>LN12</v>
          </cell>
          <cell r="B198">
            <v>0</v>
          </cell>
          <cell r="C198" t="str">
            <v>Loan Menu Make Payment Full Access to 0630 DTMF8 return to Loan Menu</v>
          </cell>
          <cell r="D198" t="str">
            <v>Client: Minimum 1 Loan Acct - Not RE, any pmt, Full Access MEM01</v>
          </cell>
          <cell r="E198">
            <v>0</v>
          </cell>
          <cell r="F198">
            <v>0</v>
          </cell>
        </row>
        <row r="199">
          <cell r="A199" t="str">
            <v>LN13</v>
          </cell>
          <cell r="B199">
            <v>0</v>
          </cell>
          <cell r="C199" t="str">
            <v>Loan Menu Make Payment Full Access to 0630 DTMF9 Goto MM Landing</v>
          </cell>
          <cell r="D199" t="str">
            <v>Client: Minimum 1 Loan Acct - Not RE, any pmt, Full Access MEM01</v>
          </cell>
          <cell r="E199">
            <v>0</v>
          </cell>
          <cell r="F199">
            <v>0</v>
          </cell>
        </row>
        <row r="200">
          <cell r="A200" t="str">
            <v>LN14</v>
          </cell>
          <cell r="B200">
            <v>0</v>
          </cell>
          <cell r="C200" t="str">
            <v>Loan Menu Make Payment Full Access to 0630 DTMF0 CSRvice Xfer</v>
          </cell>
          <cell r="D200" t="str">
            <v>Client: Minimum 1 Loan Acct - Not RE, any pmt, Full Access MEM01</v>
          </cell>
          <cell r="E200">
            <v>0</v>
          </cell>
          <cell r="F200">
            <v>0</v>
          </cell>
        </row>
        <row r="201">
          <cell r="A201" t="str">
            <v>LN15</v>
          </cell>
          <cell r="B201">
            <v>0</v>
          </cell>
          <cell r="C201" t="str">
            <v>Loan Menu Make Payment Full Access Process Pmt "else" Fail Xfer</v>
          </cell>
          <cell r="D201" t="str">
            <v>Client: Minimum 1 Loan Acct - Not RE, any pmt, Full Access MEM01  **DEVELOPER ASSIST**</v>
          </cell>
          <cell r="E201">
            <v>0</v>
          </cell>
          <cell r="F201">
            <v>0</v>
          </cell>
        </row>
        <row r="202">
          <cell r="A202" t="str">
            <v>LN16</v>
          </cell>
          <cell r="B202">
            <v>0</v>
          </cell>
          <cell r="C202" t="str">
            <v>Loan Menu Make Payment Full Access Process Pmt Insufficient Funds Another Amt</v>
          </cell>
          <cell r="D202" t="str">
            <v>Client: Minimum 1 Loan Acct - Not RE, any pmt, Full Access MEM01 &amp; Insufficient Funds attempt</v>
          </cell>
          <cell r="E202">
            <v>0</v>
          </cell>
          <cell r="F202">
            <v>0</v>
          </cell>
        </row>
        <row r="203">
          <cell r="A203" t="str">
            <v>LN17</v>
          </cell>
          <cell r="B203">
            <v>0</v>
          </cell>
          <cell r="C203" t="str">
            <v>Loan Menu Make Payment Full Access Process Pmt Insufficient Funds Another Acct</v>
          </cell>
          <cell r="D203" t="str">
            <v>Client: Minimum 1 Loan Acct - Not RE, any pmt, Full Access MEM01 &amp; Insufficient Funds attempt</v>
          </cell>
          <cell r="E203">
            <v>0</v>
          </cell>
          <cell r="F203">
            <v>0</v>
          </cell>
        </row>
        <row r="204">
          <cell r="A204" t="str">
            <v>LN18</v>
          </cell>
          <cell r="B204">
            <v>0</v>
          </cell>
          <cell r="C204" t="str">
            <v>Loan Menu Make Payment Full Access Process Pmt Insufficient Funds CSRvice Xfer</v>
          </cell>
          <cell r="D204" t="str">
            <v xml:space="preserve">Client: Minimum 1 Loan Acct - Not RE, any pmt, Full Access MEM01 </v>
          </cell>
          <cell r="E204">
            <v>0</v>
          </cell>
          <cell r="F204">
            <v>0</v>
          </cell>
        </row>
        <row r="205">
          <cell r="A205" t="str">
            <v>LN19</v>
          </cell>
          <cell r="B205">
            <v>0</v>
          </cell>
          <cell r="C205" t="str">
            <v>Loan Menu Make Payment Full Access Process Pmt Success Repeat 0660 CSRvice Xfer</v>
          </cell>
          <cell r="D205" t="str">
            <v xml:space="preserve">Client: Minimum 1 Loan Acct - Not RE, any pmt, Full Access MEM01 </v>
          </cell>
          <cell r="E205">
            <v>0</v>
          </cell>
          <cell r="F205">
            <v>0</v>
          </cell>
        </row>
        <row r="206">
          <cell r="A206" t="str">
            <v>LN20</v>
          </cell>
          <cell r="B206">
            <v>0</v>
          </cell>
          <cell r="C206" t="str">
            <v>Loan Menu Make Payment Full Access Process Pmt Insufficient Funds Another Amt RECOVER</v>
          </cell>
          <cell r="D206" t="str">
            <v>Client: Minimum 1 Loan Acct - Not RE, any pmt, Full Access MEM01 &amp; Insufficient Funds attempt</v>
          </cell>
          <cell r="E206">
            <v>0</v>
          </cell>
          <cell r="F206">
            <v>0</v>
          </cell>
        </row>
        <row r="207">
          <cell r="A207" t="str">
            <v>LN21</v>
          </cell>
          <cell r="B207">
            <v>0</v>
          </cell>
          <cell r="C207" t="str">
            <v>Loan Menu Make Payment Full Access Process Pmt Success 0660 DTMF7 Enter New Account</v>
          </cell>
          <cell r="D207" t="str">
            <v xml:space="preserve">Client: Minimum 1 Loan Acct - Not RE, any pmt, Full Access MEM01 </v>
          </cell>
          <cell r="E207">
            <v>0</v>
          </cell>
          <cell r="F207">
            <v>0</v>
          </cell>
        </row>
        <row r="208">
          <cell r="A208" t="str">
            <v>LN22</v>
          </cell>
          <cell r="B208">
            <v>0</v>
          </cell>
          <cell r="C208" t="str">
            <v>Loan Menu Make Payment Full Access Process Pmt Success 0660 DTMF8 Loan Menu Landing</v>
          </cell>
          <cell r="D208" t="str">
            <v xml:space="preserve">Client: Minimum 1 Loan Acct - Not RE, any pmt, Full Access MEM01 </v>
          </cell>
          <cell r="E208">
            <v>0</v>
          </cell>
          <cell r="F208">
            <v>0</v>
          </cell>
        </row>
        <row r="209">
          <cell r="A209" t="str">
            <v>LN23</v>
          </cell>
          <cell r="B209">
            <v>0</v>
          </cell>
          <cell r="C209" t="str">
            <v>Loan Menu Make Payment Full Access Process Pmt Success After 7pm 0660 DTMF9 Goto MM Landing</v>
          </cell>
          <cell r="D209" t="str">
            <v xml:space="preserve">Client: Minimum 1 Loan Acct - Not RE, any pmt, Full Access MEM01 </v>
          </cell>
          <cell r="E209">
            <v>0</v>
          </cell>
          <cell r="F209">
            <v>0</v>
          </cell>
        </row>
        <row r="210">
          <cell r="A210" t="str">
            <v>LN24</v>
          </cell>
          <cell r="B210">
            <v>0</v>
          </cell>
          <cell r="C210" t="str">
            <v xml:space="preserve">Loan Menu Make Payment Full Access Process Pmt Success CFG05 BusinessDay NoData/Failure </v>
          </cell>
          <cell r="D210" t="str">
            <v>Client: Minimum 1 Loan Acct - Not RE, any pmt, Full Access MEM01  **DEVELOPER ASSIST**</v>
          </cell>
          <cell r="E210">
            <v>0</v>
          </cell>
          <cell r="F210">
            <v>0</v>
          </cell>
        </row>
        <row r="211">
          <cell r="A211" t="str">
            <v>LN25</v>
          </cell>
          <cell r="B211">
            <v>0</v>
          </cell>
          <cell r="C211" t="str">
            <v>Loan Menu Interest Information No Information Available</v>
          </cell>
          <cell r="D211" t="str">
            <v>Client: Minimum 1 Loan Acct - Not RE &amp; any pmt, loan type finance info unnavailable (HEMS, HELA, HSMS, HSLA, HEFL, HEAL).</v>
          </cell>
          <cell r="E211">
            <v>0</v>
          </cell>
          <cell r="F211">
            <v>0</v>
          </cell>
        </row>
        <row r="212">
          <cell r="A212" t="str">
            <v>LN26</v>
          </cell>
          <cell r="B212">
            <v>0</v>
          </cell>
          <cell r="C212" t="str">
            <v>Loan Menu Finance Charges Interest &gt; $0 Current &amp;  Last YTD</v>
          </cell>
          <cell r="D212" t="str">
            <v>Client: Minimum 1 Loan Acct - Not RE &amp; any pmt, Interest current and last YTD</v>
          </cell>
          <cell r="E212">
            <v>0</v>
          </cell>
          <cell r="F212">
            <v>0</v>
          </cell>
        </row>
        <row r="213">
          <cell r="A213" t="str">
            <v>LN27</v>
          </cell>
          <cell r="B213">
            <v>0</v>
          </cell>
          <cell r="C213" t="str">
            <v>Loan Menu Finance Charges Interest &gt; $0 Current YTD and NOT &gt; $0 Last YTD</v>
          </cell>
          <cell r="D213" t="str">
            <v xml:space="preserve">Client: Minimum 1 Loan Acct - Not RE &amp; any pmt, Interest Current &amp; Not Last YTD </v>
          </cell>
          <cell r="E213">
            <v>0</v>
          </cell>
          <cell r="F213">
            <v>0</v>
          </cell>
        </row>
        <row r="214">
          <cell r="A214" t="str">
            <v>LN28</v>
          </cell>
          <cell r="B214">
            <v>0</v>
          </cell>
          <cell r="C214" t="str">
            <v>Loan Menu Finance Charges Interest 
NOT &gt; $0 Current &amp;  &gt; $0 Last YTD</v>
          </cell>
          <cell r="D214" t="str">
            <v xml:space="preserve">Client: Minimum 1 Loan Acct - Not RE &amp; any pmt, No Interest Current &amp; Interest Last YTD </v>
          </cell>
          <cell r="E214">
            <v>0</v>
          </cell>
          <cell r="F214">
            <v>0</v>
          </cell>
        </row>
        <row r="215">
          <cell r="A215" t="str">
            <v>LN29</v>
          </cell>
          <cell r="B215">
            <v>0</v>
          </cell>
          <cell r="C215" t="str">
            <v>Loan Menu Finance Charges Interest 
NOT &gt; $0 Current &amp;  Last YTD</v>
          </cell>
          <cell r="D215" t="str">
            <v xml:space="preserve">Client: Minimum 1 Loan Acct - Not RE &amp; any pmt, No Interest Current &amp; Last YTD </v>
          </cell>
          <cell r="E215">
            <v>0</v>
          </cell>
          <cell r="F215">
            <v>0</v>
          </cell>
        </row>
        <row r="216">
          <cell r="A216" t="str">
            <v>LN30</v>
          </cell>
          <cell r="B216">
            <v>0</v>
          </cell>
          <cell r="C216" t="str">
            <v>Loan Menu DTMF7 Enter New Account Landing</v>
          </cell>
          <cell r="D216" t="str">
            <v xml:space="preserve">Client: Minimum 1 Loan Acct </v>
          </cell>
          <cell r="E216">
            <v>0</v>
          </cell>
          <cell r="F216">
            <v>0</v>
          </cell>
        </row>
        <row r="217">
          <cell r="A217" t="str">
            <v>LN31</v>
          </cell>
          <cell r="B217">
            <v>0</v>
          </cell>
          <cell r="C217" t="str">
            <v>Loan Menu DTMF9 Goto MM Landing</v>
          </cell>
          <cell r="D217" t="str">
            <v xml:space="preserve">Client: Minimum 1 Loan Acct </v>
          </cell>
          <cell r="E217">
            <v>0</v>
          </cell>
          <cell r="F217">
            <v>0</v>
          </cell>
        </row>
        <row r="218">
          <cell r="A218" t="str">
            <v>LN32</v>
          </cell>
          <cell r="B218">
            <v>0</v>
          </cell>
          <cell r="C218" t="str">
            <v>Loan Menu DTMF0 CSRvice Xfer</v>
          </cell>
          <cell r="D218" t="str">
            <v xml:space="preserve">Client: Minimum 1 Loan Acct </v>
          </cell>
          <cell r="E218">
            <v>0</v>
          </cell>
          <cell r="F218">
            <v>0</v>
          </cell>
        </row>
        <row r="219">
          <cell r="A219">
            <v>0</v>
          </cell>
          <cell r="B219">
            <v>0</v>
          </cell>
          <cell r="C219">
            <v>0</v>
          </cell>
          <cell r="D219">
            <v>0</v>
          </cell>
          <cell r="E219">
            <v>0</v>
          </cell>
          <cell r="F219">
            <v>0</v>
          </cell>
        </row>
        <row r="220">
          <cell r="A220" t="str">
            <v>Funds Transfer Test Cycle (FT#)</v>
          </cell>
          <cell r="B220">
            <v>0</v>
          </cell>
          <cell r="C220">
            <v>0</v>
          </cell>
          <cell r="D220">
            <v>0</v>
          </cell>
          <cell r="E220">
            <v>0</v>
          </cell>
          <cell r="F220">
            <v>0</v>
          </cell>
        </row>
        <row r="221">
          <cell r="A221" t="str">
            <v>FT01</v>
          </cell>
          <cell r="B221">
            <v>0</v>
          </cell>
          <cell r="C221" t="str">
            <v>Main FundsTransfer Last 4 Account MEM01 NoData 3X Channel Block Fraud Alert Fail Xfer</v>
          </cell>
          <cell r="D221" t="str">
            <v>Client: Minimum 2 Accts - (checking, savings, loan)</v>
          </cell>
          <cell r="E221">
            <v>0</v>
          </cell>
          <cell r="F221">
            <v>0</v>
          </cell>
        </row>
        <row r="222">
          <cell r="A222" t="str">
            <v>FT02</v>
          </cell>
          <cell r="B222">
            <v>0</v>
          </cell>
          <cell r="C222" t="str">
            <v>Main FundsTransfer MEM01 NoData Recover Inquiry/No Access 2X Fail Xfer</v>
          </cell>
          <cell r="D222" t="str">
            <v>Client: Minimum 2 Accts - (checking, savings, loan)</v>
          </cell>
          <cell r="E222">
            <v>0</v>
          </cell>
          <cell r="F222">
            <v>0</v>
          </cell>
        </row>
        <row r="223">
          <cell r="A223" t="str">
            <v>FT03</v>
          </cell>
          <cell r="B223">
            <v>0</v>
          </cell>
          <cell r="C223" t="str">
            <v>FundsTransfer MEM01 Fail/Error Xfer</v>
          </cell>
          <cell r="D223" t="str">
            <v>Client: Minimum 2 Accts - (checking, savings, loan)</v>
          </cell>
          <cell r="E223">
            <v>0</v>
          </cell>
          <cell r="F223">
            <v>0</v>
          </cell>
        </row>
        <row r="224">
          <cell r="A224" t="str">
            <v>FT04</v>
          </cell>
          <cell r="B224">
            <v>0</v>
          </cell>
          <cell r="C224" t="str">
            <v>Main FundsTransfer AccountTransfer To NoDota 3X Fraud Alert Fail Xfer</v>
          </cell>
          <cell r="D224" t="str">
            <v>Client: Minimum 2 Accts - (checking, savings, loan)</v>
          </cell>
          <cell r="E224">
            <v>0</v>
          </cell>
          <cell r="F224">
            <v>0</v>
          </cell>
        </row>
        <row r="225">
          <cell r="A225" t="str">
            <v>FT05</v>
          </cell>
          <cell r="B225">
            <v>0</v>
          </cell>
          <cell r="C225" t="str">
            <v>Main FundsTransfer Valid Transfer From InquiryOnly/NoAccess Transfer To 2X Fail Xfer</v>
          </cell>
          <cell r="D225" t="str">
            <v>Client: Minimum 2 Accts - (checking, savings, loan)</v>
          </cell>
          <cell r="E225">
            <v>0</v>
          </cell>
          <cell r="F225">
            <v>0</v>
          </cell>
        </row>
        <row r="226">
          <cell r="A226" t="str">
            <v>FT06</v>
          </cell>
          <cell r="B226">
            <v>0</v>
          </cell>
          <cell r="C226" t="str">
            <v>Main FundsTransfer Valid Transfer From &amp; To Accounts LOC Access Line Xfer</v>
          </cell>
          <cell r="D226" t="str">
            <v>Client: Minimum 2 Accts - (checking, savings, loan) - 1 LOC Access Line 1 Checking</v>
          </cell>
          <cell r="E226">
            <v>0</v>
          </cell>
          <cell r="F226">
            <v>0</v>
          </cell>
        </row>
        <row r="227">
          <cell r="A227" t="str">
            <v>FT07</v>
          </cell>
          <cell r="B227">
            <v>0</v>
          </cell>
          <cell r="C227" t="str">
            <v>Main FundsTransfer LOC HandyLine Make Payment to HL 0820 DTMF* start over and Return 0820 DTMF0 CSRvice Xfer</v>
          </cell>
          <cell r="D227" t="str">
            <v>Client: Minimum 2 Accts - (checking, savings, loan) - 1 LOC HandyLine 1 Checking</v>
          </cell>
          <cell r="E227">
            <v>0</v>
          </cell>
          <cell r="F227">
            <v>0</v>
          </cell>
        </row>
        <row r="228">
          <cell r="A228" t="str">
            <v>FT08</v>
          </cell>
          <cell r="B228">
            <v>0</v>
          </cell>
          <cell r="C228" t="str">
            <v>Main FundsTransfer LOC HandyLine Make Payment to HL 0820 DTMF1 Advance from HL to Checking Success 0870 Repeat &amp; DTMF0</v>
          </cell>
          <cell r="D228" t="str">
            <v>Client: Minimum 2 Accts - (checking, savings, loan) - 1 LOC HandyLine 1 Checking</v>
          </cell>
          <cell r="E228">
            <v>0</v>
          </cell>
          <cell r="F228">
            <v>0</v>
          </cell>
        </row>
        <row r="229">
          <cell r="A229" t="str">
            <v>FT09</v>
          </cell>
          <cell r="B229">
            <v>0</v>
          </cell>
          <cell r="C229" t="str">
            <v>Main FundsTransfer LOC HandyLine Make Payment to HL 0820 DTMF1 Advance from HL to Checking 0840 DTMF2 Cancel</v>
          </cell>
          <cell r="D229" t="str">
            <v>Client: Minimum 2 Accts - (checking, savings, loan) - 1 LOC HandyLine 1 Checking</v>
          </cell>
          <cell r="E229">
            <v>0</v>
          </cell>
          <cell r="F229">
            <v>0</v>
          </cell>
        </row>
        <row r="230">
          <cell r="A230" t="str">
            <v>FT10</v>
          </cell>
          <cell r="B230">
            <v>0</v>
          </cell>
          <cell r="C230" t="str">
            <v>Main FundsTransfer LOC HandyLine Make Payment to HL 0820 DTMF1 Advance from HL to Checking Success 0870 DTMF7 New Acct# Landing</v>
          </cell>
          <cell r="D230" t="str">
            <v>Client: Minimum 2 Accts - (checking, savings, loan) - 1 LOC HandyLine 1 Checking</v>
          </cell>
          <cell r="E230">
            <v>0</v>
          </cell>
          <cell r="F230">
            <v>0</v>
          </cell>
        </row>
        <row r="231">
          <cell r="A231" t="str">
            <v>FT11</v>
          </cell>
          <cell r="B231">
            <v>0</v>
          </cell>
          <cell r="C231" t="str">
            <v>Main FundsTransfer LOC HandyLine Make Payment to HL 0820 DTMF1 Advance from HL to Checking Success 0870 DTMF9 New Acct# Landing</v>
          </cell>
          <cell r="D231" t="str">
            <v>Client: Minimum 2 Accts - (checking, savings, loan) - 1 LOC HandyLine 1 Checking</v>
          </cell>
          <cell r="E231">
            <v>0</v>
          </cell>
          <cell r="F231">
            <v>0</v>
          </cell>
        </row>
        <row r="232">
          <cell r="A232" t="str">
            <v>FT12</v>
          </cell>
          <cell r="B232">
            <v>0</v>
          </cell>
          <cell r="C232" t="str">
            <v>Main FundsTransfer LOC HandyLine Make Payment to HL 0820 DTMF2 Advance from Checking to HL 0840 DTMF0 XFER</v>
          </cell>
          <cell r="D232" t="str">
            <v>Client: Minimum 2 Accts - (checking, savings, loan) - 1 LOC HandyLine 1 Checking</v>
          </cell>
          <cell r="E232">
            <v>0</v>
          </cell>
          <cell r="F232">
            <v>0</v>
          </cell>
        </row>
        <row r="233">
          <cell r="A233" t="str">
            <v>FT13</v>
          </cell>
          <cell r="B233">
            <v>0</v>
          </cell>
          <cell r="C233" t="str">
            <v>Main FundsTransfer LOC HandyLine Make Payment to HL 0820 DTMF1 Advance from Checking to HL 0835 DTMF0 XFER</v>
          </cell>
          <cell r="D233" t="str">
            <v>Client: Minimum 2 Accts - (checking, savings, loan) - 1 LOC HandyLine 1 Checking</v>
          </cell>
          <cell r="E233">
            <v>0</v>
          </cell>
          <cell r="F233">
            <v>0</v>
          </cell>
        </row>
        <row r="234">
          <cell r="A234" t="str">
            <v>FT14</v>
          </cell>
          <cell r="B234">
            <v>0</v>
          </cell>
          <cell r="C234" t="str">
            <v>Main FundsTransfer LOC HandyLine Make Payment to HL 0820 DTMF2 Advance from Checking to HL Success 0870 Repeat &amp; DTMF0</v>
          </cell>
          <cell r="D234" t="str">
            <v>Client: Minimum 2 Accts - (checking, savings, loan) - 1 LOC HandyLine 1 Checking</v>
          </cell>
          <cell r="E234">
            <v>0</v>
          </cell>
          <cell r="F234">
            <v>0</v>
          </cell>
        </row>
        <row r="235">
          <cell r="A235" t="str">
            <v>FT15</v>
          </cell>
          <cell r="B235">
            <v>0</v>
          </cell>
          <cell r="C235" t="str">
            <v>Main FundsTransfer LOC HandyLine Make Payment to HL 0820 DTMF1 Advance from Checking to HL 0840 DTMF2 Cancel</v>
          </cell>
          <cell r="D235" t="str">
            <v>Client: Minimum 2 Accts - (checking, savings, loan) - 1 LOC HandyLine 1 Checking</v>
          </cell>
          <cell r="E235">
            <v>0</v>
          </cell>
          <cell r="F235">
            <v>0</v>
          </cell>
        </row>
        <row r="236">
          <cell r="A236" t="str">
            <v>FT16</v>
          </cell>
          <cell r="B236">
            <v>0</v>
          </cell>
          <cell r="C236" t="str">
            <v xml:space="preserve">Main FundsTransfer Checking to "Other" 0830 DTMF0 Xfer  </v>
          </cell>
          <cell r="D236" t="str">
            <v>Client: Minimum 2 Accts - (checking, savings, loan) - 1 Checking + 1 Any Other (or more)</v>
          </cell>
          <cell r="E236">
            <v>0</v>
          </cell>
          <cell r="F236">
            <v>0</v>
          </cell>
        </row>
        <row r="237">
          <cell r="A237" t="str">
            <v>FT17</v>
          </cell>
          <cell r="B237">
            <v>0</v>
          </cell>
          <cell r="C237" t="str">
            <v xml:space="preserve">Main FundsTransfer Checking to "Other" 0830 DTMF2 Cancel + Repeat &amp; DTMF9  </v>
          </cell>
          <cell r="D237" t="str">
            <v>Client: Minimum 2 Accts - (checking, savings, loan) - 1 Checking + 1 Any Other (or more)</v>
          </cell>
          <cell r="E237">
            <v>0</v>
          </cell>
          <cell r="F237">
            <v>0</v>
          </cell>
        </row>
        <row r="238">
          <cell r="A238" t="str">
            <v>FT18</v>
          </cell>
          <cell r="B238">
            <v>0</v>
          </cell>
          <cell r="C238" t="str">
            <v xml:space="preserve">Main FundsTransfer Checking to "Other" Success 0870 Repeat  </v>
          </cell>
          <cell r="D238" t="str">
            <v>Client: Minimum 2 Accts - (checking, savings, loan) - 1 Checking + 1 Any Other (or more)</v>
          </cell>
          <cell r="E238">
            <v>0</v>
          </cell>
          <cell r="F238">
            <v>0</v>
          </cell>
        </row>
        <row r="239">
          <cell r="A239" t="str">
            <v>FT19</v>
          </cell>
          <cell r="B239">
            <v>0</v>
          </cell>
          <cell r="C239" t="str">
            <v xml:space="preserve">Main FundsTransfer Checking to "Other" AMT Too Much 0860 DTMF0 Xfer  </v>
          </cell>
          <cell r="D239" t="str">
            <v>Client: Minimum 2 Accts - (checking, savings, loan) - 1 Checking + 1 Any Other (or more)</v>
          </cell>
          <cell r="E239">
            <v>0</v>
          </cell>
          <cell r="F239">
            <v>0</v>
          </cell>
        </row>
        <row r="240">
          <cell r="A240" t="str">
            <v>FT20</v>
          </cell>
          <cell r="B240">
            <v>0</v>
          </cell>
          <cell r="C240" t="str">
            <v xml:space="preserve">Main FundsTransfer Checking to "Other" AMT Too Much 0860 DTMF2 Start Over and Second Try Too Much Xfer  </v>
          </cell>
          <cell r="D240" t="str">
            <v>Client: Minimum 2 Accts - (checking, savings, loan) - 1 Checking + 1 Any Other (or more)</v>
          </cell>
          <cell r="E240">
            <v>0</v>
          </cell>
          <cell r="F240">
            <v>0</v>
          </cell>
        </row>
        <row r="241">
          <cell r="A241" t="str">
            <v>FT21</v>
          </cell>
          <cell r="B241">
            <v>0</v>
          </cell>
          <cell r="C241" t="str">
            <v xml:space="preserve">Main FundsTransfer Checking to "Other" AMT Too Much 0860 DTMF1 New Amt and Second Try Too Much Xfer  </v>
          </cell>
          <cell r="D241" t="str">
            <v>Client: Minimum 2 Accts - (checking, savings, loan) - 1 Checking + 1 Any Other (or more)</v>
          </cell>
          <cell r="E241">
            <v>0</v>
          </cell>
          <cell r="F241">
            <v>0</v>
          </cell>
        </row>
        <row r="242">
          <cell r="A242" t="str">
            <v>FT22</v>
          </cell>
          <cell r="B242">
            <v>0</v>
          </cell>
          <cell r="C242" t="str">
            <v>Main FundsTransfer Checking to "Other" AMT Too Much 0860 DTMF1 New Amt Success</v>
          </cell>
          <cell r="D242" t="str">
            <v>Client: Minimum 2 Accts - (checking, savings, loan) - 1 Checking + 1 Any Other (or more)</v>
          </cell>
          <cell r="E242">
            <v>0</v>
          </cell>
          <cell r="F242">
            <v>0</v>
          </cell>
        </row>
        <row r="243">
          <cell r="A243" t="str">
            <v>FT23</v>
          </cell>
          <cell r="B243">
            <v>0</v>
          </cell>
          <cell r="C243" t="str">
            <v>Main FundsTransfer Checking to "Other" AMT Too Much 0860 DTMF2 Start Over Success</v>
          </cell>
          <cell r="D243" t="str">
            <v>Client: Minimum 2 Accts - (checking, savings, loan) - 1 Checking + 1 Any Other (or more)</v>
          </cell>
          <cell r="E243">
            <v>0</v>
          </cell>
          <cell r="F243">
            <v>0</v>
          </cell>
        </row>
        <row r="244">
          <cell r="A244" t="str">
            <v>FT24</v>
          </cell>
          <cell r="B244">
            <v>0</v>
          </cell>
          <cell r="C244" t="str">
            <v>Main FundsTransfer Checking to "Other" Denial RM4 or Denied Special Failure XFER</v>
          </cell>
          <cell r="D244" t="str">
            <v>Client: Minimum 2 Accts - (checking, savings, loan) - 1 Checking + 1 Any Other (or more)</v>
          </cell>
          <cell r="E244">
            <v>0</v>
          </cell>
          <cell r="F244">
            <v>0</v>
          </cell>
        </row>
        <row r="245">
          <cell r="A245" t="str">
            <v>FT25</v>
          </cell>
          <cell r="B245">
            <v>0</v>
          </cell>
          <cell r="C245" t="str">
            <v xml:space="preserve">Checking FundsTransfer Success 0875 Repeat DTMF0 Xfer </v>
          </cell>
          <cell r="D245" t="str">
            <v>Client: Minimum 2 Accts - (checking, savings, loan) - 1 Checking + 1 Any Other (or more)</v>
          </cell>
          <cell r="E245">
            <v>0</v>
          </cell>
          <cell r="F245">
            <v>0</v>
          </cell>
        </row>
        <row r="246">
          <cell r="A246" t="str">
            <v>FT26</v>
          </cell>
          <cell r="B246">
            <v>0</v>
          </cell>
          <cell r="C246" t="str">
            <v xml:space="preserve">Checking FundsTransfer Success 0875 DTMF9 to MM </v>
          </cell>
          <cell r="D246" t="str">
            <v>Client: Minimum 2 Accts - (checking, savings, loan) - 1 Checking + 1 Any Other (or more)</v>
          </cell>
          <cell r="E246">
            <v>0</v>
          </cell>
          <cell r="F246">
            <v>0</v>
          </cell>
        </row>
        <row r="247">
          <cell r="A247" t="str">
            <v>FT27</v>
          </cell>
          <cell r="B247">
            <v>0</v>
          </cell>
          <cell r="C247" t="str">
            <v xml:space="preserve">Checking FundsTransfer Success 0875 DTMF8 to Checking Menu </v>
          </cell>
          <cell r="D247" t="str">
            <v>Client: Minimum 2 Accts - (checking, savings, loan) - 1 Checking + 1 Any Other (or more)</v>
          </cell>
          <cell r="E247">
            <v>0</v>
          </cell>
          <cell r="F247">
            <v>0</v>
          </cell>
        </row>
        <row r="248">
          <cell r="A248" t="str">
            <v>FT28</v>
          </cell>
          <cell r="B248">
            <v>0</v>
          </cell>
          <cell r="C248" t="str">
            <v>Checking FundsTransfer Success 0875 DTMF7 to New Acct#</v>
          </cell>
          <cell r="D248" t="str">
            <v>Client: Minimum 2 Accts - (checking, savings, loan) - 1 Checking + 1 Any Other (or more)</v>
          </cell>
          <cell r="E248">
            <v>0</v>
          </cell>
          <cell r="F248">
            <v>0</v>
          </cell>
        </row>
        <row r="249">
          <cell r="A249" t="str">
            <v>FT29</v>
          </cell>
          <cell r="B249">
            <v>0</v>
          </cell>
          <cell r="C249" t="str">
            <v xml:space="preserve">Savings FundsTransfer Success 0880 Repeat DTMF0 Xfer </v>
          </cell>
          <cell r="D249" t="str">
            <v>Client: Minimum 2 Accts - (checking, savings, loan) - 1 Savings + 1 Any Other (or more)</v>
          </cell>
          <cell r="E249">
            <v>0</v>
          </cell>
          <cell r="F249">
            <v>0</v>
          </cell>
        </row>
        <row r="250">
          <cell r="A250" t="str">
            <v>FT30</v>
          </cell>
          <cell r="B250">
            <v>0</v>
          </cell>
          <cell r="C250" t="str">
            <v xml:space="preserve">Savings FundsTransfer Success 0880 DTMF9 to MM </v>
          </cell>
          <cell r="D250" t="str">
            <v>Client: Minimum 2 Accts - (checking, savings, loan) - 1 Savings + 1 Any Other (or more)</v>
          </cell>
          <cell r="E250">
            <v>0</v>
          </cell>
          <cell r="F250">
            <v>0</v>
          </cell>
        </row>
        <row r="251">
          <cell r="A251" t="str">
            <v>FT31</v>
          </cell>
          <cell r="B251">
            <v>0</v>
          </cell>
          <cell r="C251" t="str">
            <v xml:space="preserve">Savings FundsTransfer Success 0880 DTMF8 to Savings Menu </v>
          </cell>
          <cell r="D251" t="str">
            <v>Client: Minimum 2 Accts - (checking, savings, loan) - 1 Savings + 1 Any Other (or more)</v>
          </cell>
          <cell r="E251">
            <v>0</v>
          </cell>
          <cell r="F251">
            <v>0</v>
          </cell>
        </row>
        <row r="252">
          <cell r="A252" t="str">
            <v>FT32</v>
          </cell>
          <cell r="B252">
            <v>0</v>
          </cell>
          <cell r="C252" t="str">
            <v>Savings FundsTransfer Success 0880 DTMF7 to New Acct#</v>
          </cell>
          <cell r="D252" t="str">
            <v>Client: Minimum 2 Accts - (checking, savings, loan) - 1 Savings + 1 Any Other (or more)</v>
          </cell>
          <cell r="E252">
            <v>0</v>
          </cell>
          <cell r="F252">
            <v>0</v>
          </cell>
        </row>
        <row r="253">
          <cell r="A253" t="str">
            <v>FT33</v>
          </cell>
          <cell r="B253">
            <v>0</v>
          </cell>
          <cell r="C253" t="str">
            <v>Checking to other FundsTransfer Cancel 0875 Repeat attempt</v>
          </cell>
          <cell r="D253" t="str">
            <v>Client: Minimum 2 Accts - (checking, savings, loan) - 1 Loan + 1 Any Other (or more)</v>
          </cell>
          <cell r="E253">
            <v>0</v>
          </cell>
          <cell r="F253">
            <v>0</v>
          </cell>
        </row>
        <row r="254">
          <cell r="A254" t="str">
            <v>FT34</v>
          </cell>
          <cell r="B254">
            <v>0</v>
          </cell>
          <cell r="C254" t="str">
            <v>Savings to other FundsTransfer Cancel 0880 Repeat attempt</v>
          </cell>
          <cell r="D254" t="str">
            <v>Client: Minimum 2 Accts - (checking, savings, loan) - 1 Loan + 1 Any Other (or more)</v>
          </cell>
          <cell r="E254">
            <v>0</v>
          </cell>
          <cell r="F254">
            <v>0</v>
          </cell>
        </row>
        <row r="255">
          <cell r="A255">
            <v>0</v>
          </cell>
          <cell r="B255">
            <v>0</v>
          </cell>
          <cell r="C255">
            <v>0</v>
          </cell>
          <cell r="D255">
            <v>0</v>
          </cell>
          <cell r="E255">
            <v>0</v>
          </cell>
          <cell r="F255">
            <v>0</v>
          </cell>
        </row>
        <row r="256">
          <cell r="A256" t="str">
            <v>Savings Test Cycle (SV#)</v>
          </cell>
          <cell r="B256">
            <v>0</v>
          </cell>
          <cell r="C256">
            <v>0</v>
          </cell>
          <cell r="D256">
            <v>0</v>
          </cell>
          <cell r="E256">
            <v>0</v>
          </cell>
          <cell r="F256">
            <v>0</v>
          </cell>
        </row>
        <row r="257">
          <cell r="A257" t="str">
            <v>SV01</v>
          </cell>
          <cell r="B257">
            <v>0</v>
          </cell>
          <cell r="C257" t="str">
            <v>Savings Goto SaveMenu Repeat Balance to DTMF0 CSRvice Xfer</v>
          </cell>
          <cell r="D257" t="str">
            <v xml:space="preserve">Client: Minimum 1 Savings </v>
          </cell>
          <cell r="E257">
            <v>0</v>
          </cell>
          <cell r="F257">
            <v>0</v>
          </cell>
        </row>
        <row r="258">
          <cell r="A258" t="str">
            <v>SV02</v>
          </cell>
          <cell r="B258">
            <v>0</v>
          </cell>
          <cell r="C258" t="str">
            <v>Savings Menu Debits for A withdrawal + DTMF* Start over during play, DTMF* 0425, &amp; 0425 DTMF9 to MM Landing</v>
          </cell>
          <cell r="D258" t="str">
            <v>Client: Minimum 1 Savings - WS18 tran code 0084</v>
          </cell>
          <cell r="E258">
            <v>0</v>
          </cell>
          <cell r="F258">
            <v>0</v>
          </cell>
        </row>
        <row r="259">
          <cell r="A259" t="str">
            <v>SV03</v>
          </cell>
          <cell r="B259">
            <v>0</v>
          </cell>
          <cell r="C259" t="str">
            <v>Savings Menu Debits for an ATM Withdrawal + Return to Savings Menu &amp; 0425 DTMF0 CSRvice Xfer</v>
          </cell>
          <cell r="D259" t="str">
            <v>Client: Minimum 1 Savings - WS18 tran code 0085</v>
          </cell>
          <cell r="E259">
            <v>0</v>
          </cell>
          <cell r="F259">
            <v>0</v>
          </cell>
        </row>
        <row r="260">
          <cell r="A260" t="str">
            <v>SV04</v>
          </cell>
          <cell r="B260">
            <v>0</v>
          </cell>
          <cell r="C260" t="str">
            <v>Savings Menu Debits for a 0086 Debit + DTMF7 New Acct#</v>
          </cell>
          <cell r="D260" t="str">
            <v>Client: Minimum 1 Savings - WS18 tran code0086</v>
          </cell>
          <cell r="E260">
            <v>0</v>
          </cell>
          <cell r="F260">
            <v>0</v>
          </cell>
        </row>
        <row r="261">
          <cell r="A261" t="str">
            <v>SV05</v>
          </cell>
          <cell r="B261">
            <v>0</v>
          </cell>
          <cell r="C261" t="str">
            <v>Savings Menu Debits an "Else" Debit For</v>
          </cell>
          <cell r="D261" t="str">
            <v>Client: Minimum 1 Savings - WS18 tran code "Else"</v>
          </cell>
          <cell r="E261">
            <v>0</v>
          </cell>
          <cell r="F261">
            <v>0</v>
          </cell>
        </row>
        <row r="262">
          <cell r="A262" t="str">
            <v>SV06</v>
          </cell>
          <cell r="B262">
            <v>0</v>
          </cell>
          <cell r="C262" t="str">
            <v>Savings Menu Debits DTMF* Start over during play, DTMF* 0425, &amp; 0425 DTMF9 to MM Landing</v>
          </cell>
          <cell r="D262" t="str">
            <v>**SEE SV02**</v>
          </cell>
          <cell r="E262">
            <v>0</v>
          </cell>
          <cell r="F262">
            <v>0</v>
          </cell>
        </row>
        <row r="263">
          <cell r="A263" t="str">
            <v>SV07</v>
          </cell>
          <cell r="B263">
            <v>0</v>
          </cell>
          <cell r="C263" t="str">
            <v>Debits Menu DTMF0 CSRvice Xfer</v>
          </cell>
          <cell r="D263" t="str">
            <v>**SEE SV03**</v>
          </cell>
          <cell r="E263">
            <v>0</v>
          </cell>
          <cell r="F263">
            <v>0</v>
          </cell>
        </row>
        <row r="264">
          <cell r="A264" t="str">
            <v>SV08</v>
          </cell>
          <cell r="B264">
            <v>0</v>
          </cell>
          <cell r="C264" t="str">
            <v xml:space="preserve">Debits Menu Return to Savings Menu </v>
          </cell>
          <cell r="D264" t="str">
            <v>**SEE SV03**</v>
          </cell>
          <cell r="E264">
            <v>0</v>
          </cell>
          <cell r="F264">
            <v>0</v>
          </cell>
        </row>
        <row r="265">
          <cell r="A265" t="str">
            <v>SV09</v>
          </cell>
          <cell r="B265">
            <v>0</v>
          </cell>
          <cell r="C265" t="str">
            <v>Debits Menu Enter a New Account Number</v>
          </cell>
          <cell r="D265" t="str">
            <v>**SEE SV04**</v>
          </cell>
          <cell r="E265">
            <v>0</v>
          </cell>
          <cell r="F265">
            <v>0</v>
          </cell>
        </row>
        <row r="266">
          <cell r="A266" t="str">
            <v>SV10</v>
          </cell>
          <cell r="B266">
            <v>0</v>
          </cell>
          <cell r="C266" t="str">
            <v>Savings Menu Debits Play Multiple Tran Code Types in Single 5 play through</v>
          </cell>
          <cell r="D266" t="str">
            <v>***SEE SV02/03/04/05***</v>
          </cell>
          <cell r="E266">
            <v>0</v>
          </cell>
          <cell r="F266">
            <v>0</v>
          </cell>
        </row>
        <row r="267">
          <cell r="A267" t="str">
            <v>SV11</v>
          </cell>
          <cell r="B267">
            <v>0</v>
          </cell>
          <cell r="C267" t="str">
            <v>Savings Menu Debits No Debits Since Last Statement + 0405 DTMF7 New Acct# Landing</v>
          </cell>
          <cell r="D267" t="str">
            <v>Client: Minimum 1 Savings - No Transactions WS18 NoData</v>
          </cell>
          <cell r="E267">
            <v>0</v>
          </cell>
          <cell r="F267">
            <v>0</v>
          </cell>
        </row>
        <row r="268">
          <cell r="A268" t="str">
            <v>SV12</v>
          </cell>
          <cell r="B268">
            <v>0</v>
          </cell>
          <cell r="C268" t="str">
            <v>Checking Menu Debits WS18 Failure Xfer</v>
          </cell>
          <cell r="D268" t="str">
            <v>Client: Minimum 1 Savings - WS18 Failure/Breakdown</v>
          </cell>
          <cell r="E268">
            <v>0</v>
          </cell>
          <cell r="F268">
            <v>0</v>
          </cell>
        </row>
        <row r="269">
          <cell r="A269" t="str">
            <v>SV13</v>
          </cell>
          <cell r="B269">
            <v>0</v>
          </cell>
          <cell r="C269" t="str">
            <v>Savings Menu Credits for A Deposit + Start Over DTMF* during play, DTMF* 0395, &amp; 0395 DTMF9 to MM</v>
          </cell>
          <cell r="D269" t="str">
            <v>Client: Minimum 1 Savings - WS18 tran code 0071</v>
          </cell>
          <cell r="E269">
            <v>0</v>
          </cell>
          <cell r="F269">
            <v>0</v>
          </cell>
        </row>
        <row r="270">
          <cell r="A270" t="str">
            <v>SV14</v>
          </cell>
          <cell r="B270">
            <v>0</v>
          </cell>
          <cell r="C270" t="str">
            <v>Savings Menu Credits for an ATM Deposit + 0445 DTMF0 CSRvice Xfer</v>
          </cell>
          <cell r="D270" t="str">
            <v>Client: Minimum 1 Savings - WS18 tran code 0073</v>
          </cell>
          <cell r="E270">
            <v>0</v>
          </cell>
          <cell r="F270">
            <v>0</v>
          </cell>
        </row>
        <row r="271">
          <cell r="A271" t="str">
            <v>SV15</v>
          </cell>
          <cell r="B271">
            <v>0</v>
          </cell>
          <cell r="C271" t="str">
            <v>Savings Menu Credits for a 0074 Credit + DTMF8 Return to Savings Menu</v>
          </cell>
          <cell r="D271" t="str">
            <v>Client: Minimum 1 Savings - WS18 tran code 0074</v>
          </cell>
          <cell r="E271">
            <v>0</v>
          </cell>
          <cell r="F271">
            <v>0</v>
          </cell>
        </row>
        <row r="272">
          <cell r="A272" t="str">
            <v>SV16</v>
          </cell>
          <cell r="B272">
            <v>0</v>
          </cell>
          <cell r="C272" t="str">
            <v>Savings Menu Credits for an Else Credit + DTMF7 New Acct#</v>
          </cell>
          <cell r="D272" t="str">
            <v>Client: Minimum 1 Savings - WS18 tran code else</v>
          </cell>
          <cell r="E272">
            <v>0</v>
          </cell>
          <cell r="F272">
            <v>0</v>
          </cell>
        </row>
        <row r="273">
          <cell r="A273" t="str">
            <v>SV17</v>
          </cell>
          <cell r="B273">
            <v>0</v>
          </cell>
          <cell r="C273" t="str">
            <v>Savings Menu Credits DTMF0 CSRvice</v>
          </cell>
          <cell r="D273" t="str">
            <v>**SEE SV14**</v>
          </cell>
          <cell r="E273">
            <v>0</v>
          </cell>
          <cell r="F273">
            <v>0</v>
          </cell>
        </row>
        <row r="274">
          <cell r="A274" t="str">
            <v>SV18</v>
          </cell>
          <cell r="B274">
            <v>0</v>
          </cell>
          <cell r="C274" t="str">
            <v>Savings Menu Credits DTMF8 to Checking Menu</v>
          </cell>
          <cell r="D274" t="str">
            <v>**SEE SV15**</v>
          </cell>
          <cell r="E274">
            <v>0</v>
          </cell>
          <cell r="F274">
            <v>0</v>
          </cell>
        </row>
        <row r="275">
          <cell r="A275" t="str">
            <v>SV19</v>
          </cell>
          <cell r="B275">
            <v>0</v>
          </cell>
          <cell r="C275" t="str">
            <v>Savings Menu Credits DTMF7 to Enter a new Account</v>
          </cell>
          <cell r="D275" t="str">
            <v>**SEE SV16**</v>
          </cell>
          <cell r="E275">
            <v>0</v>
          </cell>
          <cell r="F275">
            <v>0</v>
          </cell>
        </row>
        <row r="276">
          <cell r="A276" t="str">
            <v>SV20</v>
          </cell>
          <cell r="B276">
            <v>0</v>
          </cell>
          <cell r="C276" t="str">
            <v>Savings Menu Credits Play Multiple Tran Code Types in Single 5 play through</v>
          </cell>
          <cell r="D276" t="str">
            <v>**SEE SV13/14/15/16**</v>
          </cell>
          <cell r="E276">
            <v>0</v>
          </cell>
          <cell r="F276">
            <v>0</v>
          </cell>
        </row>
        <row r="277">
          <cell r="A277" t="str">
            <v>SV21</v>
          </cell>
          <cell r="B277">
            <v>0</v>
          </cell>
          <cell r="C277" t="str">
            <v>Savings Menu Credits Start Over DTMF* during play, DTMF* 0395, &amp; 0395 DTMF9 to MM</v>
          </cell>
          <cell r="D277" t="str">
            <v>**SEE SV13**</v>
          </cell>
          <cell r="E277">
            <v>0</v>
          </cell>
          <cell r="F277">
            <v>0</v>
          </cell>
        </row>
        <row r="278">
          <cell r="A278" t="str">
            <v>SV22</v>
          </cell>
          <cell r="B278">
            <v>0</v>
          </cell>
          <cell r="C278" t="str">
            <v>Savings Menu Credits No Deposits or Credits WS18 No Data</v>
          </cell>
          <cell r="D278" t="str">
            <v>Client: Minimum 1 Savings - No Transactions WS18 NoData</v>
          </cell>
          <cell r="E278">
            <v>0</v>
          </cell>
          <cell r="F278">
            <v>0</v>
          </cell>
        </row>
        <row r="279">
          <cell r="A279" t="str">
            <v>SV23</v>
          </cell>
          <cell r="B279">
            <v>0</v>
          </cell>
          <cell r="C279" t="str">
            <v>Savings Menu Interest Info $0 int Current YTD &amp; prior year to Savings Menu</v>
          </cell>
          <cell r="D279" t="str">
            <v>Client: Minimum 1 Savings - any Transactions - Interest $0 Current &amp; Prior YTD</v>
          </cell>
          <cell r="E279">
            <v>0</v>
          </cell>
          <cell r="F279">
            <v>0</v>
          </cell>
        </row>
        <row r="280">
          <cell r="A280" t="str">
            <v>SV24</v>
          </cell>
          <cell r="B280">
            <v>0</v>
          </cell>
          <cell r="C280" t="str">
            <v>Savings Menu Interest Info $0 int Current YTD &amp;  Else Int Prior Year to Savings Menu</v>
          </cell>
          <cell r="D280" t="str">
            <v xml:space="preserve">Client: Minimum 1 Savings - any Transactions - Interest $0 Current &amp; &gt;0 Prior </v>
          </cell>
          <cell r="E280">
            <v>0</v>
          </cell>
          <cell r="F280">
            <v>0</v>
          </cell>
        </row>
        <row r="281">
          <cell r="A281" t="str">
            <v>SV25</v>
          </cell>
          <cell r="B281">
            <v>0</v>
          </cell>
          <cell r="C281" t="str">
            <v>Savings Menu Interest Info Else Current YTD &amp; $0 Int Prior Year to Savings Menu</v>
          </cell>
          <cell r="D281" t="str">
            <v xml:space="preserve">Client: Minimum 1 Savings - any Transactions - Interest &gt;0 Current &amp; $0 Prior </v>
          </cell>
          <cell r="E281">
            <v>0</v>
          </cell>
          <cell r="F281">
            <v>0</v>
          </cell>
        </row>
        <row r="282">
          <cell r="A282" t="str">
            <v>SV26</v>
          </cell>
          <cell r="B282">
            <v>0</v>
          </cell>
          <cell r="C282" t="str">
            <v>Savings Menu Interest Info Else Int Current YTD &amp; Else Int Prior Year to Savings Menu</v>
          </cell>
          <cell r="D282" t="str">
            <v xml:space="preserve">Client: Minimum 1 Savings - any Transactions - Interest  &gt;0 Current &amp; Prior </v>
          </cell>
          <cell r="E282">
            <v>0</v>
          </cell>
          <cell r="F282">
            <v>0</v>
          </cell>
        </row>
        <row r="283">
          <cell r="A283" t="str">
            <v>SV27</v>
          </cell>
          <cell r="B283">
            <v>0</v>
          </cell>
          <cell r="C283" t="str">
            <v>Savings Menu Transfer Funds/Pmt Transfer Funds Landing</v>
          </cell>
          <cell r="D283" t="str">
            <v xml:space="preserve">Client: Minimum 1 Savings </v>
          </cell>
          <cell r="E283">
            <v>0</v>
          </cell>
          <cell r="F283">
            <v>0</v>
          </cell>
        </row>
        <row r="285">
          <cell r="D285">
            <v>0</v>
          </cell>
        </row>
        <row r="286">
          <cell r="A286" t="str">
            <v>CD Test Cycle (CD#)</v>
          </cell>
          <cell r="B286">
            <v>0</v>
          </cell>
          <cell r="C286">
            <v>0</v>
          </cell>
          <cell r="D286">
            <v>0</v>
          </cell>
          <cell r="E286">
            <v>0</v>
          </cell>
          <cell r="F286">
            <v>0</v>
          </cell>
        </row>
        <row r="287">
          <cell r="A287" t="str">
            <v>CD01</v>
          </cell>
          <cell r="B287">
            <v>0</v>
          </cell>
          <cell r="C287" t="str">
            <v>CD WS17 NoData/Error Fail Xfer</v>
          </cell>
          <cell r="D287" t="str">
            <v>***DEVELOPER ASSIST***</v>
          </cell>
          <cell r="E287">
            <v>0</v>
          </cell>
          <cell r="F287">
            <v>0</v>
          </cell>
        </row>
        <row r="288">
          <cell r="A288" t="str">
            <v>CD02</v>
          </cell>
          <cell r="B288">
            <v>0</v>
          </cell>
          <cell r="C288" t="str">
            <v>CD Menu CD Balance Repeat to DTMF0 CSRvice Xfer</v>
          </cell>
          <cell r="D288" t="str">
            <v>No ANI SSN+Code - Client:  checking, savings, Credit Card, loan, cd, &amp; 2+ all types Has Balance</v>
          </cell>
          <cell r="E288">
            <v>0</v>
          </cell>
          <cell r="F288">
            <v>0</v>
          </cell>
        </row>
        <row r="289">
          <cell r="A289" t="str">
            <v>CD03</v>
          </cell>
          <cell r="B289">
            <v>0</v>
          </cell>
          <cell r="C289" t="str">
            <v>CD Menu IRA Balance Repeat to DTMF9 Goto MM Landing</v>
          </cell>
          <cell r="D289" t="str">
            <v>No ANI SSN+Code - Client:  Minimum 1 IRA Account</v>
          </cell>
          <cell r="E289">
            <v>0</v>
          </cell>
          <cell r="F289">
            <v>0</v>
          </cell>
        </row>
        <row r="290">
          <cell r="A290" t="str">
            <v>CD04</v>
          </cell>
          <cell r="B290">
            <v>0</v>
          </cell>
          <cell r="C290" t="str">
            <v>CD Menu CD Balance DTMF7 Enter New Acct Landing</v>
          </cell>
          <cell r="D290" t="str">
            <v>No ANI SSN+Code - Client:  checking, savings, Credit Card, loan, cd, &amp; 2+ all types Has Balance</v>
          </cell>
          <cell r="E290">
            <v>0</v>
          </cell>
          <cell r="F290">
            <v>0</v>
          </cell>
        </row>
        <row r="292">
          <cell r="A292" t="str">
            <v>CTI Test Cycle (CTI#)</v>
          </cell>
          <cell r="B292">
            <v>0</v>
          </cell>
          <cell r="C292">
            <v>0</v>
          </cell>
          <cell r="D292">
            <v>0</v>
          </cell>
          <cell r="E292">
            <v>0</v>
          </cell>
          <cell r="F292">
            <v>0</v>
          </cell>
        </row>
        <row r="293">
          <cell r="A293" t="str">
            <v>CTI01</v>
          </cell>
          <cell r="B293">
            <v>0</v>
          </cell>
          <cell r="C293">
            <v>0</v>
          </cell>
          <cell r="D293">
            <v>0</v>
          </cell>
          <cell r="E293">
            <v>0</v>
          </cell>
          <cell r="F293">
            <v>0</v>
          </cell>
        </row>
        <row r="294">
          <cell r="A294" t="str">
            <v>CTI02</v>
          </cell>
          <cell r="B294">
            <v>0</v>
          </cell>
          <cell r="C294">
            <v>0</v>
          </cell>
          <cell r="D294">
            <v>0</v>
          </cell>
          <cell r="E294">
            <v>0</v>
          </cell>
          <cell r="F294">
            <v>0</v>
          </cell>
        </row>
        <row r="295">
          <cell r="A295" t="str">
            <v>CTI03</v>
          </cell>
          <cell r="B295">
            <v>0</v>
          </cell>
          <cell r="C295">
            <v>0</v>
          </cell>
          <cell r="D295">
            <v>0</v>
          </cell>
          <cell r="E295">
            <v>0</v>
          </cell>
          <cell r="F295">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 Overview"/>
      <sheetName val="TC1"/>
      <sheetName val="TC2"/>
      <sheetName val="TC3"/>
      <sheetName val="TC4"/>
      <sheetName val="TC5"/>
      <sheetName val="TC6"/>
      <sheetName val="TC7"/>
      <sheetName val="TC8"/>
      <sheetName val="TC9"/>
      <sheetName val="TC10"/>
      <sheetName val="TC11"/>
      <sheetName val="TC12"/>
      <sheetName val="TC13"/>
      <sheetName val="TC14"/>
      <sheetName val="TC15"/>
      <sheetName val="TC16"/>
      <sheetName val="TC17"/>
      <sheetName val="TC18"/>
      <sheetName val="TC19"/>
      <sheetName val="TC20"/>
      <sheetName val="TC21"/>
      <sheetName val="TC22"/>
      <sheetName val="TC23"/>
      <sheetName val="TC24"/>
      <sheetName val="TC25"/>
      <sheetName val="TC26"/>
      <sheetName val="TC27"/>
      <sheetName val="TC28"/>
      <sheetName val="TC29"/>
      <sheetName val="TC30"/>
      <sheetName val="TC31"/>
      <sheetName val="TC32"/>
      <sheetName val="TC33"/>
      <sheetName val="TC34"/>
      <sheetName val="TC35"/>
      <sheetName val="TC36"/>
      <sheetName val="TC37"/>
      <sheetName val="TC38"/>
      <sheetName val="TC39"/>
      <sheetName val="TC40"/>
      <sheetName val="TC41"/>
      <sheetName val="TC42"/>
      <sheetName val="TC43"/>
      <sheetName val="TC44"/>
      <sheetName val="TC45"/>
      <sheetName val="TC46"/>
      <sheetName val="TC47"/>
      <sheetName val="TC48"/>
      <sheetName val="TC49"/>
      <sheetName val="TC50"/>
      <sheetName val="TC51"/>
      <sheetName val="TC52"/>
      <sheetName val="TC53"/>
      <sheetName val="TC54"/>
      <sheetName val="TC55"/>
      <sheetName val="TC56"/>
      <sheetName val="TC57"/>
      <sheetName val="TC58"/>
      <sheetName val="TC59"/>
      <sheetName val="TC60"/>
      <sheetName val="TC61"/>
      <sheetName val="TC62"/>
      <sheetName val="TC63"/>
      <sheetName val="TC64"/>
      <sheetName val="TC65"/>
      <sheetName val="TC66"/>
      <sheetName val="TC67"/>
      <sheetName val="TC68"/>
      <sheetName val="TC69"/>
      <sheetName val="TC70"/>
      <sheetName val="TC71"/>
      <sheetName val="TC72"/>
      <sheetName val="TC73"/>
      <sheetName val="TC74"/>
      <sheetName val="TC75"/>
      <sheetName val="TC76"/>
      <sheetName val="TC77"/>
      <sheetName val="TC78"/>
      <sheetName val="TC79"/>
      <sheetName val="TC80"/>
      <sheetName val="TC81"/>
      <sheetName val="TC82"/>
      <sheetName val="TC83"/>
      <sheetName val="TC84"/>
      <sheetName val="TC85"/>
      <sheetName val="TC86"/>
      <sheetName val="TC87"/>
      <sheetName val="TC88"/>
      <sheetName val="TC89"/>
      <sheetName val="TC90"/>
      <sheetName val="TC91"/>
      <sheetName val="TC92"/>
      <sheetName val="TC93"/>
      <sheetName val="TC94"/>
      <sheetName val="TC95"/>
      <sheetName val="TC96"/>
      <sheetName val="TC97"/>
      <sheetName val="TC98"/>
      <sheetName val="TC99"/>
      <sheetName val="TC100"/>
      <sheetName val="TC101"/>
      <sheetName val="TC102"/>
      <sheetName val="TC103"/>
      <sheetName val="TC104"/>
      <sheetName val="TC105"/>
      <sheetName val="TC106"/>
      <sheetName val="TC107"/>
      <sheetName val="TC108"/>
      <sheetName val="TC109"/>
      <sheetName val="TC110"/>
      <sheetName val="TC111"/>
      <sheetName val="TC112"/>
      <sheetName val="TC113"/>
      <sheetName val="TC114"/>
      <sheetName val="TC115"/>
      <sheetName val="TC116"/>
      <sheetName val="TC117"/>
      <sheetName val="TC118"/>
      <sheetName val="TC119"/>
      <sheetName val="TC120"/>
      <sheetName val="TC121"/>
      <sheetName val="TC122"/>
      <sheetName val="TC123"/>
      <sheetName val="TC124"/>
      <sheetName val="TC125"/>
      <sheetName val="TC126"/>
      <sheetName val="TC127"/>
      <sheetName val="TC128"/>
      <sheetName val="TC129"/>
      <sheetName val="TC130"/>
      <sheetName val="TC131"/>
      <sheetName val="TC132"/>
      <sheetName val="TC133"/>
      <sheetName val="TC134"/>
      <sheetName val="TC135"/>
      <sheetName val="TC136"/>
      <sheetName val="TC137"/>
      <sheetName val="TC138"/>
      <sheetName val="TC139"/>
      <sheetName val="TC140"/>
      <sheetName val="TC141"/>
      <sheetName val="TC142"/>
      <sheetName val="TC143"/>
      <sheetName val="TC144"/>
      <sheetName val="TC145"/>
      <sheetName val="TC146"/>
      <sheetName val="TC147"/>
      <sheetName val="TC148"/>
      <sheetName val="TC149"/>
      <sheetName val="TC150"/>
      <sheetName val="TC151"/>
      <sheetName val="TC152"/>
      <sheetName val="TC153"/>
      <sheetName val="TC154"/>
      <sheetName val="TC155"/>
      <sheetName val="TC156"/>
      <sheetName val="TC157"/>
      <sheetName val="TC158"/>
      <sheetName val="TC159"/>
      <sheetName val="TC160"/>
      <sheetName val="TC161"/>
      <sheetName val="TC162"/>
      <sheetName val="TC163"/>
      <sheetName val="TC164"/>
      <sheetName val="TC165"/>
      <sheetName val="TC166"/>
      <sheetName val="TC167"/>
      <sheetName val="TC168"/>
      <sheetName val="TC169"/>
      <sheetName val="TC170"/>
      <sheetName val="TC171"/>
      <sheetName val="TC172"/>
      <sheetName val="TC173"/>
      <sheetName val="TC174"/>
      <sheetName val="TC175"/>
      <sheetName val="TC176"/>
      <sheetName val="TC177"/>
      <sheetName val="TC178"/>
      <sheetName val="TC179"/>
      <sheetName val="TC180"/>
      <sheetName val="TC181"/>
      <sheetName val="TC182"/>
      <sheetName val="TC183"/>
      <sheetName val="TC184"/>
      <sheetName val="TC185"/>
      <sheetName val="TC186"/>
      <sheetName val="TC187"/>
      <sheetName val="TC188"/>
      <sheetName val="TC189"/>
      <sheetName val="TC190"/>
      <sheetName val="TC191"/>
      <sheetName val="TC192"/>
      <sheetName val="TC193"/>
      <sheetName val="TC194"/>
      <sheetName val="TC195"/>
      <sheetName val="TC196"/>
      <sheetName val="TC197"/>
      <sheetName val="TC198"/>
      <sheetName val="TC199"/>
      <sheetName val="TC200"/>
      <sheetName val="TC201"/>
      <sheetName val="TC202"/>
      <sheetName val="TC203"/>
      <sheetName val="PEG DICTIONARY"/>
      <sheetName val="Wyndham Destinations_TestCaseOv"/>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sheetData sheetId="20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6:F97" headerRowCount="0" totalsRowShown="0" headerRowDxfId="6725" dataDxfId="6723" headerRowBorderDxfId="6724" tableBorderDxfId="6722" totalsRowBorderDxfId="6721">
  <tableColumns count="6">
    <tableColumn id="1" xr3:uid="{00000000-0010-0000-0000-000001000000}" name="1" headerRowDxfId="6720" dataDxfId="6719" headerRowCellStyle="Hyperlink" dataCellStyle="Hyperlink"/>
    <tableColumn id="2" xr3:uid="{00000000-0010-0000-0000-000002000000}" name="8000" headerRowDxfId="6718" dataDxfId="6717"/>
    <tableColumn id="3" xr3:uid="{00000000-0010-0000-0000-000003000000}" name="General DNIS Entry Point Greeting Test" headerRowDxfId="6716" dataDxfId="6715"/>
    <tableColumn id="6" xr3:uid="{00000000-0010-0000-0000-000006000000}" name="Column3" headerRowDxfId="6714" dataDxfId="6713"/>
    <tableColumn id="4" xr3:uid="{00000000-0010-0000-0000-000004000000}" name="Column1" headerRowDxfId="6712" dataDxfId="6711"/>
    <tableColumn id="5" xr3:uid="{00000000-0010-0000-0000-000005000000}" name="Column2" headerRowDxfId="6710" dataDxfId="6709"/>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9000000}" name="Table2575525269111220" displayName="Table2575525269111220" ref="A7:E17" totalsRowShown="0" headerRowDxfId="6544" headerRowBorderDxfId="6543" tableBorderDxfId="6542" totalsRowBorderDxfId="6541">
  <autoFilter ref="A7:E17" xr:uid="{00000000-0009-0000-0100-000013000000}"/>
  <tableColumns count="5">
    <tableColumn id="1" xr3:uid="{00000000-0010-0000-0900-000001000000}" name="Step" dataDxfId="6540"/>
    <tableColumn id="2" xr3:uid="{00000000-0010-0000-0900-000002000000}" name="Action" dataDxfId="6539"/>
    <tableColumn id="3" xr3:uid="{00000000-0010-0000-0900-000003000000}" name="Message | Input" dataDxfId="6538"/>
    <tableColumn id="5" xr3:uid="{00000000-0010-0000-0900-000005000000}" name="PEG" dataDxfId="6537"/>
    <tableColumn id="4" xr3:uid="{00000000-0010-0000-0900-000004000000}" name="Notes &amp; Data Settings" dataDxfId="6536"/>
  </tableColumns>
  <tableStyleInfo name="TableStyleLight1" showFirstColumn="0" showLastColumn="0"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00000000-000C-0000-FFFF-FFFF63000000}" name="Table25751986" displayName="Table25751986" ref="A7:E23" totalsRowShown="0" headerRowDxfId="3285" headerRowBorderDxfId="3284" tableBorderDxfId="3283" totalsRowBorderDxfId="3282">
  <autoFilter ref="A7:E23" xr:uid="{00000000-0009-0000-0100-000055000000}"/>
  <tableColumns count="5">
    <tableColumn id="1" xr3:uid="{00000000-0010-0000-6300-000001000000}" name="Step" dataDxfId="3281"/>
    <tableColumn id="2" xr3:uid="{00000000-0010-0000-6300-000002000000}" name="Action" dataDxfId="3280"/>
    <tableColumn id="3" xr3:uid="{00000000-0010-0000-6300-000003000000}" name="Message | Input" dataDxfId="3279"/>
    <tableColumn id="5" xr3:uid="{00000000-0010-0000-6300-000005000000}" name="PEG" dataDxfId="3278"/>
    <tableColumn id="4" xr3:uid="{00000000-0010-0000-6300-000004000000}" name="Notes &amp; Data Settings" dataDxfId="3277"/>
  </tableColumns>
  <tableStyleInfo name="TableStyleLight1" showFirstColumn="0" showLastColumn="0" showRowStripes="1"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00000000-000C-0000-FFFF-FFFF64000000}" name="Table25751989" displayName="Table25751989" ref="A7:E23" totalsRowShown="0" headerRowDxfId="3239" headerRowBorderDxfId="3238" tableBorderDxfId="3237" totalsRowBorderDxfId="3236">
  <autoFilter ref="A7:E23" xr:uid="{00000000-0009-0000-0100-000058000000}"/>
  <tableColumns count="5">
    <tableColumn id="1" xr3:uid="{00000000-0010-0000-6400-000001000000}" name="Step" dataDxfId="3235"/>
    <tableColumn id="2" xr3:uid="{00000000-0010-0000-6400-000002000000}" name="Action" dataDxfId="3234"/>
    <tableColumn id="3" xr3:uid="{00000000-0010-0000-6400-000003000000}" name="Message | Input" dataDxfId="3233"/>
    <tableColumn id="5" xr3:uid="{00000000-0010-0000-6400-000005000000}" name="PEG" dataDxfId="3232"/>
    <tableColumn id="4" xr3:uid="{00000000-0010-0000-6400-000004000000}" name="Notes &amp; Data Settings" dataDxfId="3231"/>
  </tableColumns>
  <tableStyleInfo name="TableStyleLight1" showFirstColumn="0" showLastColumn="0" showRowStripes="1"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00000000-000C-0000-FFFF-FFFF65000000}" name="Table25751990" displayName="Table25751990" ref="A7:E23" totalsRowShown="0" headerRowDxfId="3193" headerRowBorderDxfId="3192" tableBorderDxfId="3191" totalsRowBorderDxfId="3190">
  <autoFilter ref="A7:E23" xr:uid="{00000000-0009-0000-0100-000059000000}"/>
  <tableColumns count="5">
    <tableColumn id="1" xr3:uid="{00000000-0010-0000-6500-000001000000}" name="Step" dataDxfId="3189"/>
    <tableColumn id="2" xr3:uid="{00000000-0010-0000-6500-000002000000}" name="Action" dataDxfId="3188"/>
    <tableColumn id="3" xr3:uid="{00000000-0010-0000-6500-000003000000}" name="Message | Input" dataDxfId="3187"/>
    <tableColumn id="5" xr3:uid="{00000000-0010-0000-6500-000005000000}" name="PEG" dataDxfId="3186"/>
    <tableColumn id="4" xr3:uid="{00000000-0010-0000-6500-000004000000}" name="Notes &amp; Data Settings" dataDxfId="3185"/>
  </tableColumns>
  <tableStyleInfo name="TableStyleLight1" showFirstColumn="0" showLastColumn="0" showRowStripes="1"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00000000-000C-0000-FFFF-FFFF66000000}" name="Table25751991" displayName="Table25751991" ref="A7:E23" totalsRowShown="0" headerRowDxfId="3147" headerRowBorderDxfId="3146" tableBorderDxfId="3145" totalsRowBorderDxfId="3144">
  <autoFilter ref="A7:E23" xr:uid="{00000000-0009-0000-0100-00005A000000}"/>
  <tableColumns count="5">
    <tableColumn id="1" xr3:uid="{00000000-0010-0000-6600-000001000000}" name="Step" dataDxfId="3143"/>
    <tableColumn id="2" xr3:uid="{00000000-0010-0000-6600-000002000000}" name="Action" dataDxfId="3142"/>
    <tableColumn id="3" xr3:uid="{00000000-0010-0000-6600-000003000000}" name="Message | Input" dataDxfId="3141"/>
    <tableColumn id="5" xr3:uid="{00000000-0010-0000-6600-000005000000}" name="PEG" dataDxfId="3140"/>
    <tableColumn id="4" xr3:uid="{00000000-0010-0000-6600-000004000000}" name="Notes &amp; Data Settings" dataDxfId="3139"/>
  </tableColumns>
  <tableStyleInfo name="TableStyleLight1" showFirstColumn="0" showLastColumn="0" showRowStripes="1"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67000000}" name="Table257519918" displayName="Table257519918" ref="A7:E23" totalsRowShown="0" headerRowDxfId="3103" headerRowBorderDxfId="3102" tableBorderDxfId="3101" totalsRowBorderDxfId="3100">
  <autoFilter ref="A7:E23" xr:uid="{00000000-0009-0000-0100-000007000000}"/>
  <tableColumns count="5">
    <tableColumn id="1" xr3:uid="{00000000-0010-0000-6700-000001000000}" name="Step" dataDxfId="3099"/>
    <tableColumn id="2" xr3:uid="{00000000-0010-0000-6700-000002000000}" name="Action" dataDxfId="3098"/>
    <tableColumn id="3" xr3:uid="{00000000-0010-0000-6700-000003000000}" name="Message | Input" dataDxfId="3097"/>
    <tableColumn id="5" xr3:uid="{00000000-0010-0000-6700-000005000000}" name="PEG" dataDxfId="3096"/>
    <tableColumn id="4" xr3:uid="{00000000-0010-0000-6700-000004000000}" name="Notes &amp; Data Settings" dataDxfId="3095"/>
  </tableColumns>
  <tableStyleInfo name="TableStyleLight1" showFirstColumn="0" showLastColumn="0" showRowStripes="1"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68000000}" name="Table2575199127" displayName="Table2575199127" ref="A7:E23" totalsRowShown="0" headerRowDxfId="3059" headerRowBorderDxfId="3058" tableBorderDxfId="3057" totalsRowBorderDxfId="3056">
  <autoFilter ref="A7:E23" xr:uid="{00000000-0009-0000-0100-00001A000000}"/>
  <tableColumns count="5">
    <tableColumn id="1" xr3:uid="{00000000-0010-0000-6800-000001000000}" name="Step" dataDxfId="3055"/>
    <tableColumn id="2" xr3:uid="{00000000-0010-0000-6800-000002000000}" name="Action" dataDxfId="3054"/>
    <tableColumn id="3" xr3:uid="{00000000-0010-0000-6800-000003000000}" name="Message | Input" dataDxfId="3053"/>
    <tableColumn id="5" xr3:uid="{00000000-0010-0000-6800-000005000000}" name="PEG" dataDxfId="3052"/>
    <tableColumn id="4" xr3:uid="{00000000-0010-0000-6800-000004000000}" name="Notes &amp; Data Settings" dataDxfId="3051"/>
  </tableColumns>
  <tableStyleInfo name="TableStyleLight1" showFirstColumn="0" showLastColumn="0" showRowStripes="1"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69000000}" name="Table2575199129" displayName="Table2575199129" ref="A7:E23" totalsRowShown="0" headerRowDxfId="3019" headerRowBorderDxfId="3018" tableBorderDxfId="3017" totalsRowBorderDxfId="3016">
  <autoFilter ref="A7:E23" xr:uid="{00000000-0009-0000-0100-00001C000000}"/>
  <tableColumns count="5">
    <tableColumn id="1" xr3:uid="{00000000-0010-0000-6900-000001000000}" name="Step" dataDxfId="3015"/>
    <tableColumn id="2" xr3:uid="{00000000-0010-0000-6900-000002000000}" name="Action" dataDxfId="3014"/>
    <tableColumn id="3" xr3:uid="{00000000-0010-0000-6900-000003000000}" name="Message | Input" dataDxfId="3013"/>
    <tableColumn id="5" xr3:uid="{00000000-0010-0000-6900-000005000000}" name="PEG" dataDxfId="3012"/>
    <tableColumn id="4" xr3:uid="{00000000-0010-0000-6900-000004000000}" name="Notes &amp; Data Settings" dataDxfId="3011"/>
  </tableColumns>
  <tableStyleInfo name="TableStyleLight1" showFirstColumn="0" showLastColumn="0" showRowStripes="1"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6A000000}" name="Table2575199131" displayName="Table2575199131" ref="A7:E23" totalsRowShown="0" headerRowDxfId="2976" headerRowBorderDxfId="2975" tableBorderDxfId="2974" totalsRowBorderDxfId="2973">
  <autoFilter ref="A7:E23" xr:uid="{00000000-0009-0000-0100-00001E000000}"/>
  <tableColumns count="5">
    <tableColumn id="1" xr3:uid="{00000000-0010-0000-6A00-000001000000}" name="Step" dataDxfId="2972"/>
    <tableColumn id="2" xr3:uid="{00000000-0010-0000-6A00-000002000000}" name="Action" dataDxfId="2971"/>
    <tableColumn id="3" xr3:uid="{00000000-0010-0000-6A00-000003000000}" name="Message | Input" dataDxfId="2970"/>
    <tableColumn id="5" xr3:uid="{00000000-0010-0000-6A00-000005000000}" name="PEG" dataDxfId="2969"/>
    <tableColumn id="4" xr3:uid="{00000000-0010-0000-6A00-000004000000}" name="Notes &amp; Data Settings" dataDxfId="2968"/>
  </tableColumns>
  <tableStyleInfo name="TableStyleLight1" showFirstColumn="0" showLastColumn="0" showRowStripes="1"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6B000000}" name="Table257519913135" displayName="Table257519913135" ref="A7:E23" totalsRowShown="0" headerRowDxfId="2936" headerRowBorderDxfId="2935" tableBorderDxfId="2934" totalsRowBorderDxfId="2933">
  <autoFilter ref="A7:E23" xr:uid="{00000000-0009-0000-0100-000022000000}"/>
  <tableColumns count="5">
    <tableColumn id="1" xr3:uid="{00000000-0010-0000-6B00-000001000000}" name="Step" dataDxfId="2932"/>
    <tableColumn id="2" xr3:uid="{00000000-0010-0000-6B00-000002000000}" name="Action" dataDxfId="2931"/>
    <tableColumn id="3" xr3:uid="{00000000-0010-0000-6B00-000003000000}" name="Message | Input" dataDxfId="2930"/>
    <tableColumn id="5" xr3:uid="{00000000-0010-0000-6B00-000005000000}" name="PEG" dataDxfId="2929"/>
    <tableColumn id="4" xr3:uid="{00000000-0010-0000-6B00-000004000000}" name="Notes &amp; Data Settings" dataDxfId="2928"/>
  </tableColumns>
  <tableStyleInfo name="TableStyleLight1" showFirstColumn="0" showLastColumn="0" showRowStripes="1"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6C000000}" name="Table257519913137" displayName="Table257519913137" ref="A7:E23" totalsRowShown="0" headerRowDxfId="2893" headerRowBorderDxfId="2892" tableBorderDxfId="2891" totalsRowBorderDxfId="2890">
  <autoFilter ref="A7:E23" xr:uid="{00000000-0009-0000-0100-000024000000}"/>
  <tableColumns count="5">
    <tableColumn id="1" xr3:uid="{00000000-0010-0000-6C00-000001000000}" name="Step" dataDxfId="2889"/>
    <tableColumn id="2" xr3:uid="{00000000-0010-0000-6C00-000002000000}" name="Action" dataDxfId="2888"/>
    <tableColumn id="3" xr3:uid="{00000000-0010-0000-6C00-000003000000}" name="Message | Input" dataDxfId="2887"/>
    <tableColumn id="5" xr3:uid="{00000000-0010-0000-6C00-000005000000}" name="PEG" dataDxfId="2886"/>
    <tableColumn id="4" xr3:uid="{00000000-0010-0000-6C00-000004000000}" name="Notes &amp; Data Settings" dataDxfId="2885"/>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A000000}" name="Table257552526911122021" displayName="Table257552526911122021" ref="A7:E17" totalsRowShown="0" headerRowDxfId="6519" headerRowBorderDxfId="6518" tableBorderDxfId="6517" totalsRowBorderDxfId="6516">
  <autoFilter ref="A7:E17" xr:uid="{00000000-0009-0000-0100-000014000000}"/>
  <tableColumns count="5">
    <tableColumn id="1" xr3:uid="{00000000-0010-0000-0A00-000001000000}" name="Step" dataDxfId="6515"/>
    <tableColumn id="2" xr3:uid="{00000000-0010-0000-0A00-000002000000}" name="Action" dataDxfId="6514"/>
    <tableColumn id="3" xr3:uid="{00000000-0010-0000-0A00-000003000000}" name="Message | Input" dataDxfId="6513"/>
    <tableColumn id="5" xr3:uid="{00000000-0010-0000-0A00-000005000000}" name="PEG" dataDxfId="6512"/>
    <tableColumn id="4" xr3:uid="{00000000-0010-0000-0A00-000004000000}" name="Notes &amp; Data Settings" dataDxfId="6511"/>
  </tableColumns>
  <tableStyleInfo name="TableStyleLight1" showFirstColumn="0" showLastColumn="0" showRowStripes="1"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6D000000}" name="Table257519913140" displayName="Table257519913140" ref="A7:E23" totalsRowShown="0" headerRowDxfId="2850" headerRowBorderDxfId="2849" tableBorderDxfId="2848" totalsRowBorderDxfId="2847">
  <autoFilter ref="A7:E23" xr:uid="{00000000-0009-0000-0100-000027000000}"/>
  <tableColumns count="5">
    <tableColumn id="1" xr3:uid="{00000000-0010-0000-6D00-000001000000}" name="Step" dataDxfId="2846"/>
    <tableColumn id="2" xr3:uid="{00000000-0010-0000-6D00-000002000000}" name="Action" dataDxfId="2845"/>
    <tableColumn id="3" xr3:uid="{00000000-0010-0000-6D00-000003000000}" name="Message | Input" dataDxfId="2844"/>
    <tableColumn id="5" xr3:uid="{00000000-0010-0000-6D00-000005000000}" name="PEG" dataDxfId="2843"/>
    <tableColumn id="4" xr3:uid="{00000000-0010-0000-6D00-000004000000}" name="Notes &amp; Data Settings" dataDxfId="2842"/>
  </tableColumns>
  <tableStyleInfo name="TableStyleLight1" showFirstColumn="0" showLastColumn="0" showRowStripes="1"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00000000-000C-0000-FFFF-FFFF6E000000}" name="Table25751991314099" displayName="Table25751991314099" ref="A7:E23" totalsRowShown="0" headerRowDxfId="2815" headerRowBorderDxfId="2814" tableBorderDxfId="2813" totalsRowBorderDxfId="2812">
  <autoFilter ref="A7:E23" xr:uid="{00000000-0009-0000-0100-000062000000}"/>
  <tableColumns count="5">
    <tableColumn id="1" xr3:uid="{00000000-0010-0000-6E00-000001000000}" name="Step" dataDxfId="2811"/>
    <tableColumn id="2" xr3:uid="{00000000-0010-0000-6E00-000002000000}" name="Action" dataDxfId="2810"/>
    <tableColumn id="3" xr3:uid="{00000000-0010-0000-6E00-000003000000}" name="Message | Input" dataDxfId="2809"/>
    <tableColumn id="5" xr3:uid="{00000000-0010-0000-6E00-000005000000}" name="PEG" dataDxfId="2808"/>
    <tableColumn id="4" xr3:uid="{00000000-0010-0000-6E00-000004000000}" name="Notes &amp; Data Settings" dataDxfId="2807"/>
  </tableColumns>
  <tableStyleInfo name="TableStyleLight1" showFirstColumn="0" showLastColumn="0" showRowStripes="1"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00000000-000C-0000-FFFF-FFFF6F000000}" name="Table257519913140103" displayName="Table257519913140103" ref="A7:E27" totalsRowShown="0" headerRowDxfId="2780" headerRowBorderDxfId="2779" tableBorderDxfId="2778" totalsRowBorderDxfId="2777">
  <autoFilter ref="A7:E27" xr:uid="{00000000-0009-0000-0100-000066000000}"/>
  <tableColumns count="5">
    <tableColumn id="1" xr3:uid="{00000000-0010-0000-6F00-000001000000}" name="Step" dataDxfId="2776"/>
    <tableColumn id="2" xr3:uid="{00000000-0010-0000-6F00-000002000000}" name="Action" dataDxfId="2775"/>
    <tableColumn id="3" xr3:uid="{00000000-0010-0000-6F00-000003000000}" name="Message | Input" dataDxfId="2774"/>
    <tableColumn id="5" xr3:uid="{00000000-0010-0000-6F00-000005000000}" name="PEG" dataDxfId="2773"/>
    <tableColumn id="4" xr3:uid="{00000000-0010-0000-6F00-000004000000}" name="Notes &amp; Data Settings" dataDxfId="2772"/>
  </tableColumns>
  <tableStyleInfo name="TableStyleLight1" showFirstColumn="0" showLastColumn="0" showRowStripes="1"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00000000-000C-0000-FFFF-FFFF70000000}" name="Table257519913140106" displayName="Table257519913140106" ref="A7:E27" totalsRowShown="0" headerRowDxfId="2744" headerRowBorderDxfId="2743" tableBorderDxfId="2742" totalsRowBorderDxfId="2741">
  <autoFilter ref="A7:E27" xr:uid="{00000000-0009-0000-0100-000069000000}"/>
  <tableColumns count="5">
    <tableColumn id="1" xr3:uid="{00000000-0010-0000-7000-000001000000}" name="Step" dataDxfId="2740"/>
    <tableColumn id="2" xr3:uid="{00000000-0010-0000-7000-000002000000}" name="Action" dataDxfId="2739"/>
    <tableColumn id="3" xr3:uid="{00000000-0010-0000-7000-000003000000}" name="Message | Input" dataDxfId="2738"/>
    <tableColumn id="5" xr3:uid="{00000000-0010-0000-7000-000005000000}" name="PEG" dataDxfId="2737"/>
    <tableColumn id="4" xr3:uid="{00000000-0010-0000-7000-000004000000}" name="Notes &amp; Data Settings" dataDxfId="2736"/>
  </tableColumns>
  <tableStyleInfo name="TableStyleLight1" showFirstColumn="0" showLastColumn="0" showRowStripes="1"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xr:uid="{00000000-000C-0000-FFFF-FFFF71000000}" name="Table257519913140106110" displayName="Table257519913140106110" ref="A7:E29" totalsRowShown="0" headerRowDxfId="2703" headerRowBorderDxfId="2702" tableBorderDxfId="2701" totalsRowBorderDxfId="2700">
  <autoFilter ref="A7:E29" xr:uid="{00000000-0009-0000-0100-00006D000000}"/>
  <tableColumns count="5">
    <tableColumn id="1" xr3:uid="{00000000-0010-0000-7100-000001000000}" name="Step" dataDxfId="2699"/>
    <tableColumn id="2" xr3:uid="{00000000-0010-0000-7100-000002000000}" name="Action" dataDxfId="2698"/>
    <tableColumn id="3" xr3:uid="{00000000-0010-0000-7100-000003000000}" name="Message | Input" dataDxfId="2697"/>
    <tableColumn id="5" xr3:uid="{00000000-0010-0000-7100-000005000000}" name="PEG" dataDxfId="2696"/>
    <tableColumn id="4" xr3:uid="{00000000-0010-0000-7100-000004000000}" name="Notes &amp; Data Settings" dataDxfId="2695"/>
  </tableColumns>
  <tableStyleInfo name="TableStyleLight1" showFirstColumn="0" showLastColumn="0" showRowStripes="1"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xr:uid="{00000000-000C-0000-FFFF-FFFF72000000}" name="Table257519913140106110114" displayName="Table257519913140106110114" ref="A7:E28" totalsRowShown="0" headerRowDxfId="2666" headerRowBorderDxfId="2665" tableBorderDxfId="2664" totalsRowBorderDxfId="2663">
  <autoFilter ref="A7:E28" xr:uid="{00000000-0009-0000-0100-000071000000}"/>
  <tableColumns count="5">
    <tableColumn id="1" xr3:uid="{00000000-0010-0000-7200-000001000000}" name="Step" dataDxfId="2662"/>
    <tableColumn id="2" xr3:uid="{00000000-0010-0000-7200-000002000000}" name="Action" dataDxfId="2661"/>
    <tableColumn id="3" xr3:uid="{00000000-0010-0000-7200-000003000000}" name="Message | Input" dataDxfId="2660"/>
    <tableColumn id="5" xr3:uid="{00000000-0010-0000-7200-000005000000}" name="PEG" dataDxfId="2659"/>
    <tableColumn id="4" xr3:uid="{00000000-0010-0000-7200-000004000000}" name="Notes &amp; Data Settings" dataDxfId="2658"/>
  </tableColumns>
  <tableStyleInfo name="TableStyleLight1" showFirstColumn="0" showLastColumn="0" showRowStripes="1"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xr:uid="{00000000-000C-0000-FFFF-FFFF73000000}" name="Table257519913140106110118" displayName="Table257519913140106110118" ref="A7:E29" totalsRowShown="0" headerRowDxfId="2629" headerRowBorderDxfId="2628" tableBorderDxfId="2627" totalsRowBorderDxfId="2626">
  <autoFilter ref="A7:E29" xr:uid="{00000000-0009-0000-0100-000075000000}"/>
  <tableColumns count="5">
    <tableColumn id="1" xr3:uid="{00000000-0010-0000-7300-000001000000}" name="Step" dataDxfId="2625"/>
    <tableColumn id="2" xr3:uid="{00000000-0010-0000-7300-000002000000}" name="Action" dataDxfId="2624"/>
    <tableColumn id="3" xr3:uid="{00000000-0010-0000-7300-000003000000}" name="Message | Input" dataDxfId="2623"/>
    <tableColumn id="5" xr3:uid="{00000000-0010-0000-7300-000005000000}" name="PEG" dataDxfId="2622"/>
    <tableColumn id="4" xr3:uid="{00000000-0010-0000-7300-000004000000}" name="Notes &amp; Data Settings" dataDxfId="2621"/>
  </tableColumns>
  <tableStyleInfo name="TableStyleLight1" showFirstColumn="0" showLastColumn="0" showRowStripes="1"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xr:uid="{00000000-000C-0000-FFFF-FFFF74000000}" name="Table257519913140106110122" displayName="Table257519913140106110122" ref="A7:E29" totalsRowShown="0" headerRowDxfId="2593" headerRowBorderDxfId="2592" tableBorderDxfId="2591" totalsRowBorderDxfId="2590">
  <autoFilter ref="A7:E29" xr:uid="{00000000-0009-0000-0100-000079000000}"/>
  <tableColumns count="5">
    <tableColumn id="1" xr3:uid="{00000000-0010-0000-7400-000001000000}" name="Step" dataDxfId="2589"/>
    <tableColumn id="2" xr3:uid="{00000000-0010-0000-7400-000002000000}" name="Action" dataDxfId="2588"/>
    <tableColumn id="3" xr3:uid="{00000000-0010-0000-7400-000003000000}" name="Message | Input" dataDxfId="2587"/>
    <tableColumn id="5" xr3:uid="{00000000-0010-0000-7400-000005000000}" name="PEG" dataDxfId="2586"/>
    <tableColumn id="4" xr3:uid="{00000000-0010-0000-7400-000004000000}" name="Notes &amp; Data Settings" dataDxfId="2585"/>
  </tableColumns>
  <tableStyleInfo name="TableStyleLight1" showFirstColumn="0" showLastColumn="0" showRowStripes="1" showColumnStripes="0"/>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5" xr:uid="{00000000-000C-0000-FFFF-FFFF75000000}" name="Table257519913140106110126" displayName="Table257519913140106110126" ref="A7:E23" totalsRowShown="0" headerRowDxfId="2559" headerRowBorderDxfId="2558" tableBorderDxfId="2557" totalsRowBorderDxfId="2556">
  <autoFilter ref="A7:E23" xr:uid="{00000000-0009-0000-0100-00007D000000}"/>
  <tableColumns count="5">
    <tableColumn id="1" xr3:uid="{00000000-0010-0000-7500-000001000000}" name="Step" dataDxfId="2555"/>
    <tableColumn id="2" xr3:uid="{00000000-0010-0000-7500-000002000000}" name="Action" dataDxfId="2554"/>
    <tableColumn id="3" xr3:uid="{00000000-0010-0000-7500-000003000000}" name="Message | Input" dataDxfId="2553"/>
    <tableColumn id="5" xr3:uid="{00000000-0010-0000-7500-000005000000}" name="PEG" dataDxfId="2552"/>
    <tableColumn id="4" xr3:uid="{00000000-0010-0000-7500-000004000000}" name="Notes &amp; Data Settings" dataDxfId="2551"/>
  </tableColumns>
  <tableStyleInfo name="TableStyleLight1" showFirstColumn="0" showLastColumn="0" showRowStripes="1" showColumnStripes="0"/>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9" xr:uid="{00000000-000C-0000-FFFF-FFFF76000000}" name="Table257519913140106110130" displayName="Table257519913140106110130" ref="A7:E27" totalsRowShown="0" headerRowDxfId="2523" headerRowBorderDxfId="2522" tableBorderDxfId="2521" totalsRowBorderDxfId="2520">
  <autoFilter ref="A7:E27" xr:uid="{00000000-0009-0000-0100-000081000000}"/>
  <tableColumns count="5">
    <tableColumn id="1" xr3:uid="{00000000-0010-0000-7600-000001000000}" name="Step" dataDxfId="2519"/>
    <tableColumn id="2" xr3:uid="{00000000-0010-0000-7600-000002000000}" name="Action" dataDxfId="2518"/>
    <tableColumn id="3" xr3:uid="{00000000-0010-0000-7600-000003000000}" name="Message | Input" dataDxfId="2517"/>
    <tableColumn id="5" xr3:uid="{00000000-0010-0000-7600-000005000000}" name="PEG" dataDxfId="2516"/>
    <tableColumn id="4" xr3:uid="{00000000-0010-0000-7600-000004000000}" name="Notes &amp; Data Settings" dataDxfId="2515"/>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0000000-000C-0000-FFFF-FFFF0B000000}" name="Table257552526911122021222361" displayName="Table257552526911122021222361" ref="A7:E13" totalsRowShown="0" headerRowDxfId="6489" headerRowBorderDxfId="6488" tableBorderDxfId="6487" totalsRowBorderDxfId="6486">
  <autoFilter ref="A7:E13" xr:uid="{00000000-0009-0000-0100-00003C000000}"/>
  <tableColumns count="5">
    <tableColumn id="1" xr3:uid="{00000000-0010-0000-0B00-000001000000}" name="Step" dataDxfId="6485"/>
    <tableColumn id="2" xr3:uid="{00000000-0010-0000-0B00-000002000000}" name="Action" dataDxfId="6484"/>
    <tableColumn id="3" xr3:uid="{00000000-0010-0000-0B00-000003000000}" name="Message | Input" dataDxfId="6483"/>
    <tableColumn id="5" xr3:uid="{00000000-0010-0000-0B00-000005000000}" name="PEG" dataDxfId="6482"/>
    <tableColumn id="4" xr3:uid="{00000000-0010-0000-0B00-000004000000}" name="Notes &amp; Data Settings" dataDxfId="6481"/>
  </tableColumns>
  <tableStyleInfo name="TableStyleLight1" showFirstColumn="0" showLastColumn="0" showRowStripes="1" showColumnStripes="0"/>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3" xr:uid="{00000000-000C-0000-FFFF-FFFF77000000}" name="Table257519913140106110134" displayName="Table257519913140106110134" ref="A7:E27" totalsRowShown="0" headerRowDxfId="2486" headerRowBorderDxfId="2485" tableBorderDxfId="2484" totalsRowBorderDxfId="2483">
  <autoFilter ref="A7:E27" xr:uid="{00000000-0009-0000-0100-000085000000}"/>
  <tableColumns count="5">
    <tableColumn id="1" xr3:uid="{00000000-0010-0000-7700-000001000000}" name="Step" dataDxfId="2482"/>
    <tableColumn id="2" xr3:uid="{00000000-0010-0000-7700-000002000000}" name="Action" dataDxfId="2481"/>
    <tableColumn id="3" xr3:uid="{00000000-0010-0000-7700-000003000000}" name="Message | Input" dataDxfId="2480"/>
    <tableColumn id="5" xr3:uid="{00000000-0010-0000-7700-000005000000}" name="PEG" dataDxfId="2479"/>
    <tableColumn id="4" xr3:uid="{00000000-0010-0000-7700-000004000000}" name="Notes &amp; Data Settings" dataDxfId="2478"/>
  </tableColumns>
  <tableStyleInfo name="TableStyleLight1" showFirstColumn="0" showLastColumn="0" showRowStripes="1" showColumnStripes="0"/>
</table>
</file>

<file path=xl/tables/table1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9" xr:uid="{00000000-000C-0000-FFFF-FFFF78000000}" name="Table257519913140106110140" displayName="Table257519913140106110140" ref="A7:E21" totalsRowShown="0" headerRowDxfId="2449" headerRowBorderDxfId="2448" tableBorderDxfId="2447" totalsRowBorderDxfId="2446">
  <autoFilter ref="A7:E21" xr:uid="{00000000-0009-0000-0100-00008B000000}"/>
  <tableColumns count="5">
    <tableColumn id="1" xr3:uid="{00000000-0010-0000-7800-000001000000}" name="Step" dataDxfId="2445"/>
    <tableColumn id="2" xr3:uid="{00000000-0010-0000-7800-000002000000}" name="Action" dataDxfId="2444"/>
    <tableColumn id="3" xr3:uid="{00000000-0010-0000-7800-000003000000}" name="Message | Input" dataDxfId="2443"/>
    <tableColumn id="5" xr3:uid="{00000000-0010-0000-7800-000005000000}" name="PEG" dataDxfId="2442"/>
    <tableColumn id="4" xr3:uid="{00000000-0010-0000-7800-000004000000}" name="Notes &amp; Data Settings" dataDxfId="2441"/>
  </tableColumns>
  <tableStyleInfo name="TableStyleLight1" showFirstColumn="0" showLastColumn="0" showRowStripes="1" showColumnStripes="0"/>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2" xr:uid="{00000000-000C-0000-FFFF-FFFF79000000}" name="Table257519913140106110143" displayName="Table257519913140106110143" ref="A7:E19" totalsRowShown="0" headerRowDxfId="2412" headerRowBorderDxfId="2411" tableBorderDxfId="2410" totalsRowBorderDxfId="2409">
  <autoFilter ref="A7:E19" xr:uid="{00000000-0009-0000-0100-00008E000000}"/>
  <tableColumns count="5">
    <tableColumn id="1" xr3:uid="{00000000-0010-0000-7900-000001000000}" name="Step" dataDxfId="2408"/>
    <tableColumn id="2" xr3:uid="{00000000-0010-0000-7900-000002000000}" name="Action" dataDxfId="2407"/>
    <tableColumn id="3" xr3:uid="{00000000-0010-0000-7900-000003000000}" name="Message | Input" dataDxfId="2406"/>
    <tableColumn id="5" xr3:uid="{00000000-0010-0000-7900-000005000000}" name="PEG" dataDxfId="2405"/>
    <tableColumn id="4" xr3:uid="{00000000-0010-0000-7900-000004000000}" name="Notes &amp; Data Settings" dataDxfId="2404"/>
  </tableColumns>
  <tableStyleInfo name="TableStyleLight1" showFirstColumn="0" showLastColumn="0" showRowStripes="1" showColumnStripes="0"/>
</table>
</file>

<file path=xl/tables/table1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4" xr:uid="{00000000-000C-0000-FFFF-FFFF7A000000}" name="Table257519913140106110145" displayName="Table257519913140106110145" ref="A7:E17" totalsRowShown="0" headerRowDxfId="2384" headerRowBorderDxfId="2383" tableBorderDxfId="2382" totalsRowBorderDxfId="2381">
  <autoFilter ref="A7:E17" xr:uid="{00000000-0009-0000-0100-000090000000}"/>
  <tableColumns count="5">
    <tableColumn id="1" xr3:uid="{00000000-0010-0000-7A00-000001000000}" name="Step" dataDxfId="2380"/>
    <tableColumn id="2" xr3:uid="{00000000-0010-0000-7A00-000002000000}" name="Action" dataDxfId="2379"/>
    <tableColumn id="3" xr3:uid="{00000000-0010-0000-7A00-000003000000}" name="Message | Input" dataDxfId="2378"/>
    <tableColumn id="5" xr3:uid="{00000000-0010-0000-7A00-000005000000}" name="PEG" dataDxfId="2377"/>
    <tableColumn id="4" xr3:uid="{00000000-0010-0000-7A00-000004000000}" name="Notes &amp; Data Settings" dataDxfId="2376"/>
  </tableColumns>
  <tableStyleInfo name="TableStyleLight1" showFirstColumn="0" showLastColumn="0" showRowStripes="1" showColumnStripes="0"/>
</table>
</file>

<file path=xl/tables/table1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6" xr:uid="{00000000-000C-0000-FFFF-FFFF7B000000}" name="Table257519913140106110147" displayName="Table257519913140106110147" ref="A7:E17" totalsRowShown="0" headerRowDxfId="2355" headerRowBorderDxfId="2354" tableBorderDxfId="2353" totalsRowBorderDxfId="2352">
  <autoFilter ref="A7:E17" xr:uid="{00000000-0009-0000-0100-000092000000}"/>
  <tableColumns count="5">
    <tableColumn id="1" xr3:uid="{00000000-0010-0000-7B00-000001000000}" name="Step" dataDxfId="2351"/>
    <tableColumn id="2" xr3:uid="{00000000-0010-0000-7B00-000002000000}" name="Action" dataDxfId="2350"/>
    <tableColumn id="3" xr3:uid="{00000000-0010-0000-7B00-000003000000}" name="Message | Input" dataDxfId="2349"/>
    <tableColumn id="5" xr3:uid="{00000000-0010-0000-7B00-000005000000}" name="PEG" dataDxfId="2348"/>
    <tableColumn id="4" xr3:uid="{00000000-0010-0000-7B00-000004000000}" name="Notes &amp; Data Settings" dataDxfId="2347"/>
  </tableColumns>
  <tableStyleInfo name="TableStyleLight1" showFirstColumn="0" showLastColumn="0" showRowStripes="1" showColumnStripes="0"/>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8" xr:uid="{00000000-000C-0000-FFFF-FFFF7C000000}" name="Table257519913140106110149" displayName="Table257519913140106110149" ref="A7:E44" totalsRowShown="0" headerRowDxfId="2316" headerRowBorderDxfId="2315" tableBorderDxfId="2314" totalsRowBorderDxfId="2313">
  <autoFilter ref="A7:E44" xr:uid="{00000000-0009-0000-0100-000094000000}"/>
  <tableColumns count="5">
    <tableColumn id="1" xr3:uid="{00000000-0010-0000-7C00-000001000000}" name="Step" dataDxfId="2312"/>
    <tableColumn id="2" xr3:uid="{00000000-0010-0000-7C00-000002000000}" name="Action" dataDxfId="2311"/>
    <tableColumn id="3" xr3:uid="{00000000-0010-0000-7C00-000003000000}" name="Message | Input" dataDxfId="2310"/>
    <tableColumn id="5" xr3:uid="{00000000-0010-0000-7C00-000005000000}" name="PEG" dataDxfId="2309"/>
    <tableColumn id="4" xr3:uid="{00000000-0010-0000-7C00-000004000000}" name="Notes &amp; Data Settings" dataDxfId="2308"/>
  </tableColumns>
  <tableStyleInfo name="TableStyleLight1" showFirstColumn="0" showLastColumn="0" showRowStripes="1" showColumnStripes="0"/>
</table>
</file>

<file path=xl/tables/table1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0" xr:uid="{00000000-000C-0000-FFFF-FFFF7D000000}" name="Table257519913140106110151" displayName="Table257519913140106110151" ref="A7:E44" totalsRowShown="0" headerRowDxfId="2277" headerRowBorderDxfId="2276" tableBorderDxfId="2275" totalsRowBorderDxfId="2274">
  <autoFilter ref="A7:E44" xr:uid="{00000000-0009-0000-0100-000096000000}"/>
  <tableColumns count="5">
    <tableColumn id="1" xr3:uid="{00000000-0010-0000-7D00-000001000000}" name="Step" dataDxfId="2273"/>
    <tableColumn id="2" xr3:uid="{00000000-0010-0000-7D00-000002000000}" name="Action" dataDxfId="2272"/>
    <tableColumn id="3" xr3:uid="{00000000-0010-0000-7D00-000003000000}" name="Message | Input" dataDxfId="2271"/>
    <tableColumn id="5" xr3:uid="{00000000-0010-0000-7D00-000005000000}" name="PEG" dataDxfId="2270"/>
    <tableColumn id="4" xr3:uid="{00000000-0010-0000-7D00-000004000000}" name="Notes &amp; Data Settings" dataDxfId="2269"/>
  </tableColumns>
  <tableStyleInfo name="TableStyleLight1" showFirstColumn="0" showLastColumn="0" showRowStripes="1" showColumnStripes="0"/>
</table>
</file>

<file path=xl/tables/table1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2" xr:uid="{00000000-000C-0000-FFFF-FFFF7E000000}" name="Table257519913140106110151153" displayName="Table257519913140106110151153" ref="A7:E44" totalsRowShown="0" headerRowDxfId="2240" headerRowBorderDxfId="2239" tableBorderDxfId="2238" totalsRowBorderDxfId="2237">
  <autoFilter ref="A7:E44" xr:uid="{00000000-0009-0000-0100-000098000000}"/>
  <tableColumns count="5">
    <tableColumn id="1" xr3:uid="{00000000-0010-0000-7E00-000001000000}" name="Step" dataDxfId="2236"/>
    <tableColumn id="2" xr3:uid="{00000000-0010-0000-7E00-000002000000}" name="Action" dataDxfId="2235"/>
    <tableColumn id="3" xr3:uid="{00000000-0010-0000-7E00-000003000000}" name="Message | Input" dataDxfId="2234"/>
    <tableColumn id="5" xr3:uid="{00000000-0010-0000-7E00-000005000000}" name="PEG" dataDxfId="2233"/>
    <tableColumn id="4" xr3:uid="{00000000-0010-0000-7E00-000004000000}" name="Notes &amp; Data Settings" dataDxfId="2232"/>
  </tableColumns>
  <tableStyleInfo name="TableStyleLight1" showFirstColumn="0" showLastColumn="0" showRowStripes="1" showColumnStripes="0"/>
</table>
</file>

<file path=xl/tables/table1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4" xr:uid="{00000000-000C-0000-FFFF-FFFF7F000000}" name="Table257519913140106110151155" displayName="Table257519913140106110151155" ref="A7:E44" totalsRowShown="0" headerRowDxfId="2203" headerRowBorderDxfId="2202" tableBorderDxfId="2201" totalsRowBorderDxfId="2200">
  <autoFilter ref="A7:E44" xr:uid="{00000000-0009-0000-0100-00009A000000}"/>
  <tableColumns count="5">
    <tableColumn id="1" xr3:uid="{00000000-0010-0000-7F00-000001000000}" name="Step" dataDxfId="2199"/>
    <tableColumn id="2" xr3:uid="{00000000-0010-0000-7F00-000002000000}" name="Action" dataDxfId="2198"/>
    <tableColumn id="3" xr3:uid="{00000000-0010-0000-7F00-000003000000}" name="Message | Input" dataDxfId="2197"/>
    <tableColumn id="5" xr3:uid="{00000000-0010-0000-7F00-000005000000}" name="PEG" dataDxfId="2196"/>
    <tableColumn id="4" xr3:uid="{00000000-0010-0000-7F00-000004000000}" name="Notes &amp; Data Settings" dataDxfId="2195"/>
  </tableColumns>
  <tableStyleInfo name="TableStyleLight1" showFirstColumn="0" showLastColumn="0" showRowStripes="1" showColumnStripes="0"/>
</table>
</file>

<file path=xl/tables/table1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7" xr:uid="{00000000-000C-0000-FFFF-FFFF80000000}" name="Table257519913140106110151155158" displayName="Table257519913140106110151155158" ref="A7:E44" totalsRowShown="0" headerRowDxfId="2164" headerRowBorderDxfId="2163" tableBorderDxfId="2162" totalsRowBorderDxfId="2161">
  <autoFilter ref="A7:E44" xr:uid="{00000000-0009-0000-0100-00009D000000}"/>
  <tableColumns count="5">
    <tableColumn id="1" xr3:uid="{00000000-0010-0000-8000-000001000000}" name="Step" dataDxfId="2160"/>
    <tableColumn id="2" xr3:uid="{00000000-0010-0000-8000-000002000000}" name="Action" dataDxfId="2159"/>
    <tableColumn id="3" xr3:uid="{00000000-0010-0000-8000-000003000000}" name="Message | Input" dataDxfId="2158"/>
    <tableColumn id="5" xr3:uid="{00000000-0010-0000-8000-000005000000}" name="PEG" dataDxfId="2157"/>
    <tableColumn id="4" xr3:uid="{00000000-0010-0000-8000-000004000000}" name="Notes &amp; Data Settings" dataDxfId="2156"/>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C000000}" name="Table2575525269111220212223" displayName="Table2575525269111220212223" ref="A7:E25" totalsRowShown="0" headerRowDxfId="6460" headerRowBorderDxfId="6459" tableBorderDxfId="6458" totalsRowBorderDxfId="6457">
  <autoFilter ref="A7:E25" xr:uid="{00000000-0009-0000-0100-000016000000}"/>
  <tableColumns count="5">
    <tableColumn id="1" xr3:uid="{00000000-0010-0000-0C00-000001000000}" name="Step" dataDxfId="6456"/>
    <tableColumn id="2" xr3:uid="{00000000-0010-0000-0C00-000002000000}" name="Action" dataDxfId="6455"/>
    <tableColumn id="3" xr3:uid="{00000000-0010-0000-0C00-000003000000}" name="Message | Input" dataDxfId="6454"/>
    <tableColumn id="5" xr3:uid="{00000000-0010-0000-0C00-000005000000}" name="PEG" dataDxfId="6453"/>
    <tableColumn id="4" xr3:uid="{00000000-0010-0000-0C00-000004000000}" name="Notes &amp; Data Settings" dataDxfId="6452"/>
  </tableColumns>
  <tableStyleInfo name="TableStyleLight1" showFirstColumn="0" showLastColumn="0" showRowStripes="1" showColumnStripes="0"/>
</table>
</file>

<file path=xl/tables/table1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9" xr:uid="{00000000-000C-0000-FFFF-FFFF81000000}" name="Table257519913140106110151155160" displayName="Table257519913140106110151155160" ref="A7:E44" totalsRowShown="0" headerRowDxfId="2125" headerRowBorderDxfId="2124" tableBorderDxfId="2123" totalsRowBorderDxfId="2122">
  <autoFilter ref="A7:E44" xr:uid="{00000000-0009-0000-0100-00009F000000}"/>
  <tableColumns count="5">
    <tableColumn id="1" xr3:uid="{00000000-0010-0000-8100-000001000000}" name="Step" dataDxfId="2121"/>
    <tableColumn id="2" xr3:uid="{00000000-0010-0000-8100-000002000000}" name="Action" dataDxfId="2120"/>
    <tableColumn id="3" xr3:uid="{00000000-0010-0000-8100-000003000000}" name="Message | Input" dataDxfId="2119"/>
    <tableColumn id="5" xr3:uid="{00000000-0010-0000-8100-000005000000}" name="PEG" dataDxfId="2118"/>
    <tableColumn id="4" xr3:uid="{00000000-0010-0000-8100-000004000000}" name="Notes &amp; Data Settings" dataDxfId="2117"/>
  </tableColumns>
  <tableStyleInfo name="TableStyleLight1" showFirstColumn="0" showLastColumn="0" showRowStripes="1" showColumnStripes="0"/>
</table>
</file>

<file path=xl/tables/table1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1" xr:uid="{00000000-000C-0000-FFFF-FFFF82000000}" name="Table257519913140106110151155162" displayName="Table257519913140106110151155162" ref="A7:E44" totalsRowShown="0" headerRowDxfId="2086" headerRowBorderDxfId="2085" tableBorderDxfId="2084" totalsRowBorderDxfId="2083">
  <autoFilter ref="A7:E44" xr:uid="{00000000-0009-0000-0100-0000A1000000}"/>
  <tableColumns count="5">
    <tableColumn id="1" xr3:uid="{00000000-0010-0000-8200-000001000000}" name="Step" dataDxfId="2082"/>
    <tableColumn id="2" xr3:uid="{00000000-0010-0000-8200-000002000000}" name="Action" dataDxfId="2081"/>
    <tableColumn id="3" xr3:uid="{00000000-0010-0000-8200-000003000000}" name="Message | Input" dataDxfId="2080"/>
    <tableColumn id="5" xr3:uid="{00000000-0010-0000-8200-000005000000}" name="PEG" dataDxfId="2079"/>
    <tableColumn id="4" xr3:uid="{00000000-0010-0000-8200-000004000000}" name="Notes &amp; Data Settings" dataDxfId="2078"/>
  </tableColumns>
  <tableStyleInfo name="TableStyleLight1" showFirstColumn="0" showLastColumn="0" showRowStripes="1" showColumnStripes="0"/>
</table>
</file>

<file path=xl/tables/table1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3" xr:uid="{00000000-000C-0000-FFFF-FFFF83000000}" name="Table257519913140106110151155164" displayName="Table257519913140106110151155164" ref="A7:E44" totalsRowShown="0" headerRowDxfId="2047" headerRowBorderDxfId="2046" tableBorderDxfId="2045" totalsRowBorderDxfId="2044">
  <autoFilter ref="A7:E44" xr:uid="{00000000-0009-0000-0100-0000A3000000}"/>
  <tableColumns count="5">
    <tableColumn id="1" xr3:uid="{00000000-0010-0000-8300-000001000000}" name="Step" dataDxfId="2043"/>
    <tableColumn id="2" xr3:uid="{00000000-0010-0000-8300-000002000000}" name="Action" dataDxfId="2042"/>
    <tableColumn id="3" xr3:uid="{00000000-0010-0000-8300-000003000000}" name="Message | Input" dataDxfId="2041"/>
    <tableColumn id="5" xr3:uid="{00000000-0010-0000-8300-000005000000}" name="PEG" dataDxfId="2040"/>
    <tableColumn id="4" xr3:uid="{00000000-0010-0000-8300-000004000000}" name="Notes &amp; Data Settings" dataDxfId="2039"/>
  </tableColumns>
  <tableStyleInfo name="TableStyleLight1" showFirstColumn="0" showLastColumn="0" showRowStripes="1" showColumnStripes="0"/>
</table>
</file>

<file path=xl/tables/table1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5" xr:uid="{00000000-000C-0000-FFFF-FFFF84000000}" name="Table257519913140106110151155166" displayName="Table257519913140106110151155166" ref="A7:E44" totalsRowShown="0" headerRowDxfId="2008" headerRowBorderDxfId="2007" tableBorderDxfId="2006" totalsRowBorderDxfId="2005">
  <autoFilter ref="A7:E44" xr:uid="{00000000-0009-0000-0100-0000A5000000}"/>
  <tableColumns count="5">
    <tableColumn id="1" xr3:uid="{00000000-0010-0000-8400-000001000000}" name="Step" dataDxfId="2004"/>
    <tableColumn id="2" xr3:uid="{00000000-0010-0000-8400-000002000000}" name="Action" dataDxfId="2003"/>
    <tableColumn id="3" xr3:uid="{00000000-0010-0000-8400-000003000000}" name="Message | Input" dataDxfId="2002"/>
    <tableColumn id="5" xr3:uid="{00000000-0010-0000-8400-000005000000}" name="PEG" dataDxfId="2001"/>
    <tableColumn id="4" xr3:uid="{00000000-0010-0000-8400-000004000000}" name="Notes &amp; Data Settings" dataDxfId="2000"/>
  </tableColumns>
  <tableStyleInfo name="TableStyleLight1" showFirstColumn="0" showLastColumn="0" showRowStripes="1" showColumnStripes="0"/>
</table>
</file>

<file path=xl/tables/table1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7" xr:uid="{00000000-000C-0000-FFFF-FFFF85000000}" name="Table257519913140106110151155168" displayName="Table257519913140106110151155168" ref="A7:E44" totalsRowShown="0" headerRowDxfId="1969" headerRowBorderDxfId="1968" tableBorderDxfId="1967" totalsRowBorderDxfId="1966">
  <autoFilter ref="A7:E44" xr:uid="{00000000-0009-0000-0100-0000A7000000}"/>
  <tableColumns count="5">
    <tableColumn id="1" xr3:uid="{00000000-0010-0000-8500-000001000000}" name="Step" dataDxfId="1965"/>
    <tableColumn id="2" xr3:uid="{00000000-0010-0000-8500-000002000000}" name="Action" dataDxfId="1964"/>
    <tableColumn id="3" xr3:uid="{00000000-0010-0000-8500-000003000000}" name="Message | Input" dataDxfId="1963"/>
    <tableColumn id="5" xr3:uid="{00000000-0010-0000-8500-000005000000}" name="PEG" dataDxfId="1962"/>
    <tableColumn id="4" xr3:uid="{00000000-0010-0000-8500-000004000000}" name="Notes &amp; Data Settings" dataDxfId="1961"/>
  </tableColumns>
  <tableStyleInfo name="TableStyleLight1" showFirstColumn="0" showLastColumn="0" showRowStripes="1" showColumnStripes="0"/>
</table>
</file>

<file path=xl/tables/table1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9" xr:uid="{00000000-000C-0000-FFFF-FFFF86000000}" name="Table257519913140106110151155170" displayName="Table257519913140106110151155170" ref="A7:E44" totalsRowShown="0" headerRowDxfId="1930" headerRowBorderDxfId="1929" tableBorderDxfId="1928" totalsRowBorderDxfId="1927">
  <autoFilter ref="A7:E44" xr:uid="{00000000-0009-0000-0100-0000A9000000}"/>
  <tableColumns count="5">
    <tableColumn id="1" xr3:uid="{00000000-0010-0000-8600-000001000000}" name="Step" dataDxfId="1926"/>
    <tableColumn id="2" xr3:uid="{00000000-0010-0000-8600-000002000000}" name="Action" dataDxfId="1925"/>
    <tableColumn id="3" xr3:uid="{00000000-0010-0000-8600-000003000000}" name="Message | Input" dataDxfId="1924"/>
    <tableColumn id="5" xr3:uid="{00000000-0010-0000-8600-000005000000}" name="PEG" dataDxfId="1923"/>
    <tableColumn id="4" xr3:uid="{00000000-0010-0000-8600-000004000000}" name="Notes &amp; Data Settings" dataDxfId="1922"/>
  </tableColumns>
  <tableStyleInfo name="TableStyleLight1" showFirstColumn="0" showLastColumn="0" showRowStripes="1" showColumnStripes="0"/>
</table>
</file>

<file path=xl/tables/table1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1" xr:uid="{00000000-000C-0000-FFFF-FFFF87000000}" name="Table257519913140106110151155170172" displayName="Table257519913140106110151155170172" ref="A7:E44" totalsRowShown="0" headerRowDxfId="1893" headerRowBorderDxfId="1892" tableBorderDxfId="1891" totalsRowBorderDxfId="1890">
  <autoFilter ref="A7:E44" xr:uid="{00000000-0009-0000-0100-0000AB000000}"/>
  <tableColumns count="5">
    <tableColumn id="1" xr3:uid="{00000000-0010-0000-8700-000001000000}" name="Step" dataDxfId="1889"/>
    <tableColumn id="2" xr3:uid="{00000000-0010-0000-8700-000002000000}" name="Action" dataDxfId="1888"/>
    <tableColumn id="3" xr3:uid="{00000000-0010-0000-8700-000003000000}" name="Message | Input" dataDxfId="1887"/>
    <tableColumn id="5" xr3:uid="{00000000-0010-0000-8700-000005000000}" name="PEG" dataDxfId="1886"/>
    <tableColumn id="4" xr3:uid="{00000000-0010-0000-8700-000004000000}" name="Notes &amp; Data Settings" dataDxfId="1885"/>
  </tableColumns>
  <tableStyleInfo name="TableStyleLight1" showFirstColumn="0" showLastColumn="0" showRowStripes="1" showColumnStripes="0"/>
</table>
</file>

<file path=xl/tables/table1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3" xr:uid="{00000000-000C-0000-FFFF-FFFF88000000}" name="Table257519913140106110151155170174" displayName="Table257519913140106110151155170174" ref="A7:E44" totalsRowShown="0" headerRowDxfId="1856" headerRowBorderDxfId="1855" tableBorderDxfId="1854" totalsRowBorderDxfId="1853">
  <autoFilter ref="A7:E44" xr:uid="{00000000-0009-0000-0100-0000AD000000}"/>
  <tableColumns count="5">
    <tableColumn id="1" xr3:uid="{00000000-0010-0000-8800-000001000000}" name="Step" dataDxfId="1852"/>
    <tableColumn id="2" xr3:uid="{00000000-0010-0000-8800-000002000000}" name="Action" dataDxfId="1851"/>
    <tableColumn id="3" xr3:uid="{00000000-0010-0000-8800-000003000000}" name="Message | Input" dataDxfId="1850"/>
    <tableColumn id="5" xr3:uid="{00000000-0010-0000-8800-000005000000}" name="PEG" dataDxfId="1849"/>
    <tableColumn id="4" xr3:uid="{00000000-0010-0000-8800-000004000000}" name="Notes &amp; Data Settings" dataDxfId="1848"/>
  </tableColumns>
  <tableStyleInfo name="TableStyleLight1" showFirstColumn="0" showLastColumn="0" showRowStripes="1" showColumnStripes="0"/>
</table>
</file>

<file path=xl/tables/table1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5" xr:uid="{00000000-000C-0000-FFFF-FFFF89000000}" name="Table257519913140106110151155170176" displayName="Table257519913140106110151155170176" ref="A7:E44" totalsRowShown="0" headerRowDxfId="1819" headerRowBorderDxfId="1818" tableBorderDxfId="1817" totalsRowBorderDxfId="1816">
  <autoFilter ref="A7:E44" xr:uid="{00000000-0009-0000-0100-0000AF000000}"/>
  <tableColumns count="5">
    <tableColumn id="1" xr3:uid="{00000000-0010-0000-8900-000001000000}" name="Step" dataDxfId="1815"/>
    <tableColumn id="2" xr3:uid="{00000000-0010-0000-8900-000002000000}" name="Action" dataDxfId="1814"/>
    <tableColumn id="3" xr3:uid="{00000000-0010-0000-8900-000003000000}" name="Message | Input" dataDxfId="1813"/>
    <tableColumn id="5" xr3:uid="{00000000-0010-0000-8900-000005000000}" name="PEG" dataDxfId="1812"/>
    <tableColumn id="4" xr3:uid="{00000000-0010-0000-8900-000004000000}" name="Notes &amp; Data Settings" dataDxfId="1811"/>
  </tableColumns>
  <tableStyleInfo name="TableStyleLight1" showFirstColumn="0" showLastColumn="0" showRowStripes="1" showColumnStripes="0"/>
</table>
</file>

<file path=xl/tables/table1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7" xr:uid="{00000000-000C-0000-FFFF-FFFF8A000000}" name="Table257519913140106110151155170178" displayName="Table257519913140106110151155170178" ref="A7:E44" totalsRowShown="0" headerRowDxfId="1782" headerRowBorderDxfId="1781" tableBorderDxfId="1780" totalsRowBorderDxfId="1779">
  <autoFilter ref="A7:E44" xr:uid="{00000000-0009-0000-0100-0000B1000000}"/>
  <tableColumns count="5">
    <tableColumn id="1" xr3:uid="{00000000-0010-0000-8A00-000001000000}" name="Step" dataDxfId="1778"/>
    <tableColumn id="2" xr3:uid="{00000000-0010-0000-8A00-000002000000}" name="Action" dataDxfId="1777"/>
    <tableColumn id="3" xr3:uid="{00000000-0010-0000-8A00-000003000000}" name="Message | Input" dataDxfId="1776"/>
    <tableColumn id="5" xr3:uid="{00000000-0010-0000-8A00-000005000000}" name="PEG" dataDxfId="1775"/>
    <tableColumn id="4" xr3:uid="{00000000-0010-0000-8A00-000004000000}" name="Notes &amp; Data Settings" dataDxfId="1774"/>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D000000}" name="Table25755252691024" displayName="Table25755252691024" ref="A7:E25" totalsRowShown="0" headerRowDxfId="6421" headerRowBorderDxfId="6420" tableBorderDxfId="6419" totalsRowBorderDxfId="6418">
  <autoFilter ref="A7:E25" xr:uid="{00000000-0009-0000-0100-000017000000}"/>
  <tableColumns count="5">
    <tableColumn id="1" xr3:uid="{00000000-0010-0000-0D00-000001000000}" name="Step" dataDxfId="6417"/>
    <tableColumn id="2" xr3:uid="{00000000-0010-0000-0D00-000002000000}" name="Action" dataDxfId="6416"/>
    <tableColumn id="3" xr3:uid="{00000000-0010-0000-0D00-000003000000}" name="Message | Input" dataDxfId="6415"/>
    <tableColumn id="5" xr3:uid="{00000000-0010-0000-0D00-000005000000}" name="PEG" dataDxfId="6414"/>
    <tableColumn id="4" xr3:uid="{00000000-0010-0000-0D00-000004000000}" name="Notes &amp; Data Settings" dataDxfId="6413"/>
  </tableColumns>
  <tableStyleInfo name="TableStyleLight1" showFirstColumn="0" showLastColumn="0" showRowStripes="1" showColumnStripes="0"/>
</table>
</file>

<file path=xl/tables/table1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9" xr:uid="{00000000-000C-0000-FFFF-FFFF8B000000}" name="Table257519913140106110151155170178180" displayName="Table257519913140106110151155170178180" ref="A7:E44" totalsRowShown="0" headerRowDxfId="1743" headerRowBorderDxfId="1742" tableBorderDxfId="1741" totalsRowBorderDxfId="1740">
  <autoFilter ref="A7:E44" xr:uid="{00000000-0009-0000-0100-0000B3000000}"/>
  <tableColumns count="5">
    <tableColumn id="1" xr3:uid="{00000000-0010-0000-8B00-000001000000}" name="Step" dataDxfId="1739"/>
    <tableColumn id="2" xr3:uid="{00000000-0010-0000-8B00-000002000000}" name="Action" dataDxfId="1738"/>
    <tableColumn id="3" xr3:uid="{00000000-0010-0000-8B00-000003000000}" name="Message | Input" dataDxfId="1737"/>
    <tableColumn id="5" xr3:uid="{00000000-0010-0000-8B00-000005000000}" name="PEG" dataDxfId="1736"/>
    <tableColumn id="4" xr3:uid="{00000000-0010-0000-8B00-000004000000}" name="Notes &amp; Data Settings" dataDxfId="1735"/>
  </tableColumns>
  <tableStyleInfo name="TableStyleLight1" showFirstColumn="0" showLastColumn="0" showRowStripes="1" showColumnStripes="0"/>
</table>
</file>

<file path=xl/tables/table1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1" xr:uid="{00000000-000C-0000-FFFF-FFFF8C000000}" name="Table257519913140106110151155170178182" displayName="Table257519913140106110151155170178182" ref="A7:E44" totalsRowShown="0" headerRowDxfId="1704" headerRowBorderDxfId="1703" tableBorderDxfId="1702" totalsRowBorderDxfId="1701">
  <autoFilter ref="A7:E44" xr:uid="{00000000-0009-0000-0100-0000B5000000}"/>
  <tableColumns count="5">
    <tableColumn id="1" xr3:uid="{00000000-0010-0000-8C00-000001000000}" name="Step" dataDxfId="1700"/>
    <tableColumn id="2" xr3:uid="{00000000-0010-0000-8C00-000002000000}" name="Action" dataDxfId="1699"/>
    <tableColumn id="3" xr3:uid="{00000000-0010-0000-8C00-000003000000}" name="Message | Input" dataDxfId="1698"/>
    <tableColumn id="5" xr3:uid="{00000000-0010-0000-8C00-000005000000}" name="PEG" dataDxfId="1697"/>
    <tableColumn id="4" xr3:uid="{00000000-0010-0000-8C00-000004000000}" name="Notes &amp; Data Settings" dataDxfId="1696"/>
  </tableColumns>
  <tableStyleInfo name="TableStyleLight1" showFirstColumn="0" showLastColumn="0" showRowStripes="1" showColumnStripes="0"/>
</table>
</file>

<file path=xl/tables/table1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3" xr:uid="{00000000-000C-0000-FFFF-FFFF8D000000}" name="Table257519913140106110151155170178184" displayName="Table257519913140106110151155170178184" ref="A7:E44" totalsRowShown="0" headerRowDxfId="1665" headerRowBorderDxfId="1664" tableBorderDxfId="1663" totalsRowBorderDxfId="1662">
  <autoFilter ref="A7:E44" xr:uid="{00000000-0009-0000-0100-0000B7000000}"/>
  <tableColumns count="5">
    <tableColumn id="1" xr3:uid="{00000000-0010-0000-8D00-000001000000}" name="Step" dataDxfId="1661"/>
    <tableColumn id="2" xr3:uid="{00000000-0010-0000-8D00-000002000000}" name="Action" dataDxfId="1660"/>
    <tableColumn id="3" xr3:uid="{00000000-0010-0000-8D00-000003000000}" name="Message | Input" dataDxfId="1659"/>
    <tableColumn id="5" xr3:uid="{00000000-0010-0000-8D00-000005000000}" name="PEG" dataDxfId="1658"/>
    <tableColumn id="4" xr3:uid="{00000000-0010-0000-8D00-000004000000}" name="Notes &amp; Data Settings" dataDxfId="1657"/>
  </tableColumns>
  <tableStyleInfo name="TableStyleLight1" showFirstColumn="0" showLastColumn="0" showRowStripes="1" showColumnStripes="0"/>
</table>
</file>

<file path=xl/tables/table1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5" xr:uid="{00000000-000C-0000-FFFF-FFFF8E000000}" name="Table257519913140106110151155170178186" displayName="Table257519913140106110151155170178186" ref="A7:E44" totalsRowShown="0" headerRowDxfId="1626" headerRowBorderDxfId="1625" tableBorderDxfId="1624" totalsRowBorderDxfId="1623">
  <autoFilter ref="A7:E44" xr:uid="{00000000-0009-0000-0100-0000B9000000}"/>
  <tableColumns count="5">
    <tableColumn id="1" xr3:uid="{00000000-0010-0000-8E00-000001000000}" name="Step" dataDxfId="1622"/>
    <tableColumn id="2" xr3:uid="{00000000-0010-0000-8E00-000002000000}" name="Action" dataDxfId="1621"/>
    <tableColumn id="3" xr3:uid="{00000000-0010-0000-8E00-000003000000}" name="Message | Input" dataDxfId="1620"/>
    <tableColumn id="5" xr3:uid="{00000000-0010-0000-8E00-000005000000}" name="PEG" dataDxfId="1619"/>
    <tableColumn id="4" xr3:uid="{00000000-0010-0000-8E00-000004000000}" name="Notes &amp; Data Settings" dataDxfId="1618"/>
  </tableColumns>
  <tableStyleInfo name="TableStyleLight1" showFirstColumn="0" showLastColumn="0" showRowStripes="1" showColumnStripes="0"/>
</table>
</file>

<file path=xl/tables/table1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7" xr:uid="{00000000-000C-0000-FFFF-FFFF8F000000}" name="Table257519913140106110151155170178188" displayName="Table257519913140106110151155170178188" ref="A7:E44" totalsRowShown="0" headerRowDxfId="1587" headerRowBorderDxfId="1586" tableBorderDxfId="1585" totalsRowBorderDxfId="1584">
  <autoFilter ref="A7:E44" xr:uid="{00000000-0009-0000-0100-0000BB000000}"/>
  <tableColumns count="5">
    <tableColumn id="1" xr3:uid="{00000000-0010-0000-8F00-000001000000}" name="Step" dataDxfId="1583"/>
    <tableColumn id="2" xr3:uid="{00000000-0010-0000-8F00-000002000000}" name="Action" dataDxfId="1582"/>
    <tableColumn id="3" xr3:uid="{00000000-0010-0000-8F00-000003000000}" name="Message | Input" dataDxfId="1581"/>
    <tableColumn id="5" xr3:uid="{00000000-0010-0000-8F00-000005000000}" name="PEG" dataDxfId="1580"/>
    <tableColumn id="4" xr3:uid="{00000000-0010-0000-8F00-000004000000}" name="Notes &amp; Data Settings" dataDxfId="1579"/>
  </tableColumns>
  <tableStyleInfo name="TableStyleLight1" showFirstColumn="0" showLastColumn="0" showRowStripes="1" showColumnStripes="0"/>
</table>
</file>

<file path=xl/tables/table1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9" xr:uid="{00000000-000C-0000-FFFF-FFFF90000000}" name="Table257519913140106110151155170178190" displayName="Table257519913140106110151155170178190" ref="A7:E44" totalsRowShown="0" headerRowDxfId="1548" headerRowBorderDxfId="1547" tableBorderDxfId="1546" totalsRowBorderDxfId="1545">
  <autoFilter ref="A7:E44" xr:uid="{00000000-0009-0000-0100-0000BD000000}"/>
  <tableColumns count="5">
    <tableColumn id="1" xr3:uid="{00000000-0010-0000-9000-000001000000}" name="Step" dataDxfId="1544"/>
    <tableColumn id="2" xr3:uid="{00000000-0010-0000-9000-000002000000}" name="Action" dataDxfId="1543"/>
    <tableColumn id="3" xr3:uid="{00000000-0010-0000-9000-000003000000}" name="Message | Input" dataDxfId="1542"/>
    <tableColumn id="5" xr3:uid="{00000000-0010-0000-9000-000005000000}" name="PEG" dataDxfId="1541"/>
    <tableColumn id="4" xr3:uid="{00000000-0010-0000-9000-000004000000}" name="Notes &amp; Data Settings" dataDxfId="1540"/>
  </tableColumns>
  <tableStyleInfo name="TableStyleLight1" showFirstColumn="0" showLastColumn="0" showRowStripes="1" showColumnStripes="0"/>
</table>
</file>

<file path=xl/tables/table1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1" xr:uid="{00000000-000C-0000-FFFF-FFFF91000000}" name="Table257519913140106110151155170178192" displayName="Table257519913140106110151155170178192" ref="A7:E44" totalsRowShown="0" headerRowDxfId="1509" headerRowBorderDxfId="1508" tableBorderDxfId="1507" totalsRowBorderDxfId="1506">
  <autoFilter ref="A7:E44" xr:uid="{00000000-0009-0000-0100-0000BF000000}"/>
  <tableColumns count="5">
    <tableColumn id="1" xr3:uid="{00000000-0010-0000-9100-000001000000}" name="Step" dataDxfId="1505"/>
    <tableColumn id="2" xr3:uid="{00000000-0010-0000-9100-000002000000}" name="Action" dataDxfId="1504"/>
    <tableColumn id="3" xr3:uid="{00000000-0010-0000-9100-000003000000}" name="Message | Input" dataDxfId="1503"/>
    <tableColumn id="5" xr3:uid="{00000000-0010-0000-9100-000005000000}" name="PEG" dataDxfId="1502"/>
    <tableColumn id="4" xr3:uid="{00000000-0010-0000-9100-000004000000}" name="Notes &amp; Data Settings" dataDxfId="1501"/>
  </tableColumns>
  <tableStyleInfo name="TableStyleLight1" showFirstColumn="0" showLastColumn="0" showRowStripes="1" showColumnStripes="0"/>
</table>
</file>

<file path=xl/tables/table1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3" xr:uid="{00000000-000C-0000-FFFF-FFFF92000000}" name="Table257519913140106110151155170178194" displayName="Table257519913140106110151155170178194" ref="A7:E44" totalsRowShown="0" headerRowDxfId="1470" headerRowBorderDxfId="1469" tableBorderDxfId="1468" totalsRowBorderDxfId="1467">
  <autoFilter ref="A7:E44" xr:uid="{00000000-0009-0000-0100-0000C1000000}"/>
  <tableColumns count="5">
    <tableColumn id="1" xr3:uid="{00000000-0010-0000-9200-000001000000}" name="Step" dataDxfId="1466"/>
    <tableColumn id="2" xr3:uid="{00000000-0010-0000-9200-000002000000}" name="Action" dataDxfId="1465"/>
    <tableColumn id="3" xr3:uid="{00000000-0010-0000-9200-000003000000}" name="Message | Input" dataDxfId="1464"/>
    <tableColumn id="5" xr3:uid="{00000000-0010-0000-9200-000005000000}" name="PEG" dataDxfId="1463"/>
    <tableColumn id="4" xr3:uid="{00000000-0010-0000-9200-000004000000}" name="Notes &amp; Data Settings" dataDxfId="1462"/>
  </tableColumns>
  <tableStyleInfo name="TableStyleLight1" showFirstColumn="0" showLastColumn="0" showRowStripes="1" showColumnStripes="0"/>
</table>
</file>

<file path=xl/tables/table1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5" xr:uid="{00000000-000C-0000-FFFF-FFFF93000000}" name="Table257519913140106110151155170178196" displayName="Table257519913140106110151155170178196" ref="A7:E44" totalsRowShown="0" headerRowDxfId="1431" headerRowBorderDxfId="1430" tableBorderDxfId="1429" totalsRowBorderDxfId="1428">
  <autoFilter ref="A7:E44" xr:uid="{00000000-0009-0000-0100-0000C3000000}"/>
  <tableColumns count="5">
    <tableColumn id="1" xr3:uid="{00000000-0010-0000-9300-000001000000}" name="Step" dataDxfId="1427"/>
    <tableColumn id="2" xr3:uid="{00000000-0010-0000-9300-000002000000}" name="Action" dataDxfId="1426"/>
    <tableColumn id="3" xr3:uid="{00000000-0010-0000-9300-000003000000}" name="Message | Input" dataDxfId="1425"/>
    <tableColumn id="5" xr3:uid="{00000000-0010-0000-9300-000005000000}" name="PEG" dataDxfId="1424"/>
    <tableColumn id="4" xr3:uid="{00000000-0010-0000-9300-000004000000}" name="Notes &amp; Data Settings" dataDxfId="1423"/>
  </tableColumns>
  <tableStyleInfo name="TableStyleLight1" showFirstColumn="0" showLastColumn="0" showRowStripes="1" showColumnStripes="0"/>
</table>
</file>

<file path=xl/tables/table1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7" xr:uid="{00000000-000C-0000-FFFF-FFFF94000000}" name="Table257519913140106110151155170178198" displayName="Table257519913140106110151155170178198" ref="A7:E44" totalsRowShown="0" headerRowDxfId="1392" headerRowBorderDxfId="1391" tableBorderDxfId="1390" totalsRowBorderDxfId="1389">
  <autoFilter ref="A7:E44" xr:uid="{00000000-0009-0000-0100-0000C5000000}"/>
  <tableColumns count="5">
    <tableColumn id="1" xr3:uid="{00000000-0010-0000-9400-000001000000}" name="Step" dataDxfId="1388"/>
    <tableColumn id="2" xr3:uid="{00000000-0010-0000-9400-000002000000}" name="Action" dataDxfId="1387"/>
    <tableColumn id="3" xr3:uid="{00000000-0010-0000-9400-000003000000}" name="Message | Input" dataDxfId="1386"/>
    <tableColumn id="5" xr3:uid="{00000000-0010-0000-9400-000005000000}" name="PEG" dataDxfId="1385"/>
    <tableColumn id="4" xr3:uid="{00000000-0010-0000-9400-000004000000}" name="Notes &amp; Data Settings" dataDxfId="1384"/>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E000000}" name="Table2575525269102425" displayName="Table2575525269102425" ref="A7:E21" totalsRowShown="0" headerRowDxfId="6388" headerRowBorderDxfId="6387" tableBorderDxfId="6386" totalsRowBorderDxfId="6385">
  <autoFilter ref="A7:E21" xr:uid="{00000000-0009-0000-0100-000018000000}"/>
  <tableColumns count="5">
    <tableColumn id="1" xr3:uid="{00000000-0010-0000-0E00-000001000000}" name="Step" dataDxfId="6384"/>
    <tableColumn id="2" xr3:uid="{00000000-0010-0000-0E00-000002000000}" name="Action" dataDxfId="6383"/>
    <tableColumn id="3" xr3:uid="{00000000-0010-0000-0E00-000003000000}" name="Message | Input" dataDxfId="6382"/>
    <tableColumn id="5" xr3:uid="{00000000-0010-0000-0E00-000005000000}" name="PEG" dataDxfId="6381"/>
    <tableColumn id="4" xr3:uid="{00000000-0010-0000-0E00-000004000000}" name="Notes &amp; Data Settings" dataDxfId="6380"/>
  </tableColumns>
  <tableStyleInfo name="TableStyleLight1" showFirstColumn="0" showLastColumn="0" showRowStripes="1" showColumnStripes="0"/>
</table>
</file>

<file path=xl/tables/table1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9" xr:uid="{00000000-000C-0000-FFFF-FFFF95000000}" name="Table257519913140106110151155170178200" displayName="Table257519913140106110151155170178200" ref="A7:E44" totalsRowShown="0" headerRowDxfId="1353" headerRowBorderDxfId="1352" tableBorderDxfId="1351" totalsRowBorderDxfId="1350">
  <autoFilter ref="A7:E44" xr:uid="{00000000-0009-0000-0100-0000C7000000}"/>
  <tableColumns count="5">
    <tableColumn id="1" xr3:uid="{00000000-0010-0000-9500-000001000000}" name="Step" dataDxfId="1349"/>
    <tableColumn id="2" xr3:uid="{00000000-0010-0000-9500-000002000000}" name="Action" dataDxfId="1348"/>
    <tableColumn id="3" xr3:uid="{00000000-0010-0000-9500-000003000000}" name="Message | Input" dataDxfId="1347"/>
    <tableColumn id="5" xr3:uid="{00000000-0010-0000-9500-000005000000}" name="PEG" dataDxfId="1346"/>
    <tableColumn id="4" xr3:uid="{00000000-0010-0000-9500-000004000000}" name="Notes &amp; Data Settings" dataDxfId="1345"/>
  </tableColumns>
  <tableStyleInfo name="TableStyleLight1" showFirstColumn="0" showLastColumn="0" showRowStripes="1" showColumnStripes="0"/>
</table>
</file>

<file path=xl/tables/table1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1" xr:uid="{00000000-000C-0000-FFFF-FFFF96000000}" name="Table257519913140106110151155170178202" displayName="Table257519913140106110151155170178202" ref="A7:E44" totalsRowShown="0" headerRowDxfId="1314" headerRowBorderDxfId="1313" tableBorderDxfId="1312" totalsRowBorderDxfId="1311">
  <autoFilter ref="A7:E44" xr:uid="{00000000-0009-0000-0100-0000C9000000}"/>
  <tableColumns count="5">
    <tableColumn id="1" xr3:uid="{00000000-0010-0000-9600-000001000000}" name="Step" dataDxfId="1310"/>
    <tableColumn id="2" xr3:uid="{00000000-0010-0000-9600-000002000000}" name="Action" dataDxfId="1309"/>
    <tableColumn id="3" xr3:uid="{00000000-0010-0000-9600-000003000000}" name="Message | Input" dataDxfId="1308"/>
    <tableColumn id="5" xr3:uid="{00000000-0010-0000-9600-000005000000}" name="PEG" dataDxfId="1307"/>
    <tableColumn id="4" xr3:uid="{00000000-0010-0000-9600-000004000000}" name="Notes &amp; Data Settings" dataDxfId="1306"/>
  </tableColumns>
  <tableStyleInfo name="TableStyleLight1" showFirstColumn="0" showLastColumn="0" showRowStripes="1" showColumnStripes="0"/>
</table>
</file>

<file path=xl/tables/table1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3" xr:uid="{00000000-000C-0000-FFFF-FFFF97000000}" name="Table257519913140106110151155170178204" displayName="Table257519913140106110151155170178204" ref="A7:E44" totalsRowShown="0" headerRowDxfId="1275" headerRowBorderDxfId="1274" tableBorderDxfId="1273" totalsRowBorderDxfId="1272">
  <autoFilter ref="A7:E44" xr:uid="{00000000-0009-0000-0100-0000CB000000}"/>
  <tableColumns count="5">
    <tableColumn id="1" xr3:uid="{00000000-0010-0000-9700-000001000000}" name="Step" dataDxfId="1271"/>
    <tableColumn id="2" xr3:uid="{00000000-0010-0000-9700-000002000000}" name="Action" dataDxfId="1270"/>
    <tableColumn id="3" xr3:uid="{00000000-0010-0000-9700-000003000000}" name="Message | Input" dataDxfId="1269"/>
    <tableColumn id="5" xr3:uid="{00000000-0010-0000-9700-000005000000}" name="PEG" dataDxfId="1268"/>
    <tableColumn id="4" xr3:uid="{00000000-0010-0000-9700-000004000000}" name="Notes &amp; Data Settings" dataDxfId="1267"/>
  </tableColumns>
  <tableStyleInfo name="TableStyleLight1" showFirstColumn="0" showLastColumn="0" showRowStripes="1" showColumnStripes="0"/>
</table>
</file>

<file path=xl/tables/table1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6" xr:uid="{00000000-000C-0000-FFFF-FFFF98000000}" name="Table257519913140106110151155170178204207" displayName="Table257519913140106110151155170178204207" ref="A7:E44" totalsRowShown="0" headerRowDxfId="1254" headerRowBorderDxfId="1253" tableBorderDxfId="1252" totalsRowBorderDxfId="1251">
  <autoFilter ref="A7:E44" xr:uid="{00000000-0009-0000-0100-0000CE000000}"/>
  <tableColumns count="5">
    <tableColumn id="1" xr3:uid="{00000000-0010-0000-9800-000001000000}" name="Step" dataDxfId="1250"/>
    <tableColumn id="2" xr3:uid="{00000000-0010-0000-9800-000002000000}" name="Action" dataDxfId="1249"/>
    <tableColumn id="3" xr3:uid="{00000000-0010-0000-9800-000003000000}" name="Message | Input" dataDxfId="1248"/>
    <tableColumn id="5" xr3:uid="{00000000-0010-0000-9800-000005000000}" name="PEG" dataDxfId="1247"/>
    <tableColumn id="4" xr3:uid="{00000000-0010-0000-9800-000004000000}" name="Notes &amp; Data Settings" dataDxfId="1246"/>
  </tableColumns>
  <tableStyleInfo name="TableStyleLight1" showFirstColumn="0" showLastColumn="0" showRowStripes="1" showColumnStripes="0"/>
</table>
</file>

<file path=xl/tables/table1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8" xr:uid="{00000000-000C-0000-FFFF-FFFF99000000}" name="Table257519913140106110151155170178204209" displayName="Table257519913140106110151155170178204209" ref="A7:E44" totalsRowShown="0" headerRowDxfId="1233" headerRowBorderDxfId="1232" tableBorderDxfId="1231" totalsRowBorderDxfId="1230">
  <autoFilter ref="A7:E44" xr:uid="{00000000-0009-0000-0100-0000D0000000}"/>
  <tableColumns count="5">
    <tableColumn id="1" xr3:uid="{00000000-0010-0000-9900-000001000000}" name="Step" dataDxfId="1229"/>
    <tableColumn id="2" xr3:uid="{00000000-0010-0000-9900-000002000000}" name="Action" dataDxfId="1228"/>
    <tableColumn id="3" xr3:uid="{00000000-0010-0000-9900-000003000000}" name="Message | Input" dataDxfId="1227"/>
    <tableColumn id="5" xr3:uid="{00000000-0010-0000-9900-000005000000}" name="PEG" dataDxfId="1226"/>
    <tableColumn id="4" xr3:uid="{00000000-0010-0000-9900-000004000000}" name="Notes &amp; Data Settings" dataDxfId="1225"/>
  </tableColumns>
  <tableStyleInfo name="TableStyleLight1" showFirstColumn="0" showLastColumn="0" showRowStripes="1" showColumnStripes="0"/>
</table>
</file>

<file path=xl/tables/table1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0" xr:uid="{00000000-000C-0000-FFFF-FFFF9A000000}" name="Table257519913140106110151155170178204211" displayName="Table257519913140106110151155170178204211" ref="A7:E44" totalsRowShown="0" headerRowDxfId="1212" headerRowBorderDxfId="1211" tableBorderDxfId="1210" totalsRowBorderDxfId="1209">
  <autoFilter ref="A7:E44" xr:uid="{00000000-0009-0000-0100-0000D2000000}"/>
  <tableColumns count="5">
    <tableColumn id="1" xr3:uid="{00000000-0010-0000-9A00-000001000000}" name="Step" dataDxfId="1208"/>
    <tableColumn id="2" xr3:uid="{00000000-0010-0000-9A00-000002000000}" name="Action" dataDxfId="1207"/>
    <tableColumn id="3" xr3:uid="{00000000-0010-0000-9A00-000003000000}" name="Message | Input" dataDxfId="1206"/>
    <tableColumn id="5" xr3:uid="{00000000-0010-0000-9A00-000005000000}" name="PEG" dataDxfId="1205"/>
    <tableColumn id="4" xr3:uid="{00000000-0010-0000-9A00-000004000000}" name="Notes &amp; Data Settings" dataDxfId="1204"/>
  </tableColumns>
  <tableStyleInfo name="TableStyleLight1" showFirstColumn="0" showLastColumn="0" showRowStripes="1" showColumnStripes="0"/>
</table>
</file>

<file path=xl/tables/table1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2" xr:uid="{00000000-000C-0000-FFFF-FFFF9B000000}" name="Table257519913140106110151155170178204213" displayName="Table257519913140106110151155170178204213" ref="A7:E44" totalsRowShown="0" headerRowDxfId="1191" headerRowBorderDxfId="1190" tableBorderDxfId="1189" totalsRowBorderDxfId="1188">
  <autoFilter ref="A7:E44" xr:uid="{00000000-0009-0000-0100-0000D4000000}"/>
  <tableColumns count="5">
    <tableColumn id="1" xr3:uid="{00000000-0010-0000-9B00-000001000000}" name="Step" dataDxfId="1187"/>
    <tableColumn id="2" xr3:uid="{00000000-0010-0000-9B00-000002000000}" name="Action" dataDxfId="1186"/>
    <tableColumn id="3" xr3:uid="{00000000-0010-0000-9B00-000003000000}" name="Message | Input" dataDxfId="1185"/>
    <tableColumn id="5" xr3:uid="{00000000-0010-0000-9B00-000005000000}" name="PEG" dataDxfId="1184"/>
    <tableColumn id="4" xr3:uid="{00000000-0010-0000-9B00-000004000000}" name="Notes &amp; Data Settings" dataDxfId="1183"/>
  </tableColumns>
  <tableStyleInfo name="TableStyleLight1" showFirstColumn="0" showLastColumn="0" showRowStripes="1" showColumnStripes="0"/>
</table>
</file>

<file path=xl/tables/table1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4" xr:uid="{00000000-000C-0000-FFFF-FFFF9C000000}" name="Table257519913140106110151155170178204215" displayName="Table257519913140106110151155170178204215" ref="A7:E44" totalsRowShown="0" headerRowDxfId="1170" headerRowBorderDxfId="1169" tableBorderDxfId="1168" totalsRowBorderDxfId="1167">
  <autoFilter ref="A7:E44" xr:uid="{00000000-0009-0000-0100-0000D6000000}"/>
  <tableColumns count="5">
    <tableColumn id="1" xr3:uid="{00000000-0010-0000-9C00-000001000000}" name="Step" dataDxfId="1166"/>
    <tableColumn id="2" xr3:uid="{00000000-0010-0000-9C00-000002000000}" name="Action" dataDxfId="1165"/>
    <tableColumn id="3" xr3:uid="{00000000-0010-0000-9C00-000003000000}" name="Message | Input" dataDxfId="1164"/>
    <tableColumn id="5" xr3:uid="{00000000-0010-0000-9C00-000005000000}" name="PEG" dataDxfId="1163"/>
    <tableColumn id="4" xr3:uid="{00000000-0010-0000-9C00-000004000000}" name="Notes &amp; Data Settings" dataDxfId="1162"/>
  </tableColumns>
  <tableStyleInfo name="TableStyleLight1" showFirstColumn="0" showLastColumn="0" showRowStripes="1" showColumnStripes="0"/>
</table>
</file>

<file path=xl/tables/table1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6" xr:uid="{00000000-000C-0000-FFFF-FFFF9D000000}" name="Table257519913140106110151155170178204217" displayName="Table257519913140106110151155170178204217" ref="A7:E44" totalsRowShown="0" headerRowDxfId="1149" headerRowBorderDxfId="1148" tableBorderDxfId="1147" totalsRowBorderDxfId="1146">
  <autoFilter ref="A7:E44" xr:uid="{00000000-0009-0000-0100-0000D8000000}"/>
  <tableColumns count="5">
    <tableColumn id="1" xr3:uid="{00000000-0010-0000-9D00-000001000000}" name="Step" dataDxfId="1145"/>
    <tableColumn id="2" xr3:uid="{00000000-0010-0000-9D00-000002000000}" name="Action" dataDxfId="1144"/>
    <tableColumn id="3" xr3:uid="{00000000-0010-0000-9D00-000003000000}" name="Message | Input" dataDxfId="1143"/>
    <tableColumn id="5" xr3:uid="{00000000-0010-0000-9D00-000005000000}" name="PEG" dataDxfId="1142"/>
    <tableColumn id="4" xr3:uid="{00000000-0010-0000-9D00-000004000000}" name="Notes &amp; Data Settings" dataDxfId="1141"/>
  </tableColumns>
  <tableStyleInfo name="TableStyleLight1" showFirstColumn="0" showLastColumn="0" showRowStripes="1" showColumnStripes="0"/>
</table>
</file>

<file path=xl/tables/table1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8" xr:uid="{00000000-000C-0000-FFFF-FFFF9E000000}" name="Table257519913140106110151155170178204219" displayName="Table257519913140106110151155170178204219" ref="A7:E44" totalsRowShown="0" headerRowDxfId="1128" headerRowBorderDxfId="1127" tableBorderDxfId="1126" totalsRowBorderDxfId="1125">
  <autoFilter ref="A7:E44" xr:uid="{00000000-0009-0000-0100-0000DA000000}"/>
  <tableColumns count="5">
    <tableColumn id="1" xr3:uid="{00000000-0010-0000-9E00-000001000000}" name="Step" dataDxfId="1124"/>
    <tableColumn id="2" xr3:uid="{00000000-0010-0000-9E00-000002000000}" name="Action" dataDxfId="1123"/>
    <tableColumn id="3" xr3:uid="{00000000-0010-0000-9E00-000003000000}" name="Message | Input" dataDxfId="1122"/>
    <tableColumn id="5" xr3:uid="{00000000-0010-0000-9E00-000005000000}" name="PEG" dataDxfId="1121"/>
    <tableColumn id="4" xr3:uid="{00000000-0010-0000-9E00-000004000000}" name="Notes &amp; Data Settings" dataDxfId="1120"/>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0F000000}" name="Table257552526910242533" displayName="Table257552526910242533" ref="A7:E21" totalsRowShown="0" headerRowDxfId="6360" headerRowBorderDxfId="6359" tableBorderDxfId="6358" totalsRowBorderDxfId="6357">
  <autoFilter ref="A7:E21" xr:uid="{00000000-0009-0000-0100-000020000000}"/>
  <tableColumns count="5">
    <tableColumn id="1" xr3:uid="{00000000-0010-0000-0F00-000001000000}" name="Step" dataDxfId="6356"/>
    <tableColumn id="2" xr3:uid="{00000000-0010-0000-0F00-000002000000}" name="Action" dataDxfId="6355"/>
    <tableColumn id="3" xr3:uid="{00000000-0010-0000-0F00-000003000000}" name="Message | Input" dataDxfId="6354"/>
    <tableColumn id="5" xr3:uid="{00000000-0010-0000-0F00-000005000000}" name="PEG" dataDxfId="6353"/>
    <tableColumn id="4" xr3:uid="{00000000-0010-0000-0F00-000004000000}" name="Notes &amp; Data Settings" dataDxfId="6352"/>
  </tableColumns>
  <tableStyleInfo name="TableStyleLight1" showFirstColumn="0" showLastColumn="0" showRowStripes="1" showColumnStripes="0"/>
</table>
</file>

<file path=xl/tables/table1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0" xr:uid="{00000000-000C-0000-FFFF-FFFF9F000000}" name="Table257519913140106110151155170178204221" displayName="Table257519913140106110151155170178204221" ref="A7:E44" totalsRowShown="0" headerRowDxfId="1107" headerRowBorderDxfId="1106" tableBorderDxfId="1105" totalsRowBorderDxfId="1104">
  <autoFilter ref="A7:E44" xr:uid="{00000000-0009-0000-0100-0000DC000000}"/>
  <tableColumns count="5">
    <tableColumn id="1" xr3:uid="{00000000-0010-0000-9F00-000001000000}" name="Step" dataDxfId="1103"/>
    <tableColumn id="2" xr3:uid="{00000000-0010-0000-9F00-000002000000}" name="Action" dataDxfId="1102"/>
    <tableColumn id="3" xr3:uid="{00000000-0010-0000-9F00-000003000000}" name="Message | Input" dataDxfId="1101"/>
    <tableColumn id="5" xr3:uid="{00000000-0010-0000-9F00-000005000000}" name="PEG" dataDxfId="1100"/>
    <tableColumn id="4" xr3:uid="{00000000-0010-0000-9F00-000004000000}" name="Notes &amp; Data Settings" dataDxfId="1099"/>
  </tableColumns>
  <tableStyleInfo name="TableStyleLight1" showFirstColumn="0" showLastColumn="0" showRowStripes="1" showColumnStripes="0"/>
</table>
</file>

<file path=xl/tables/table1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2" xr:uid="{00000000-000C-0000-FFFF-FFFFA0000000}" name="Table257519913140106110151155170178204223" displayName="Table257519913140106110151155170178204223" ref="A7:E44" totalsRowShown="0" headerRowDxfId="1086" headerRowBorderDxfId="1085" tableBorderDxfId="1084" totalsRowBorderDxfId="1083">
  <autoFilter ref="A7:E44" xr:uid="{00000000-0009-0000-0100-0000DE000000}"/>
  <tableColumns count="5">
    <tableColumn id="1" xr3:uid="{00000000-0010-0000-A000-000001000000}" name="Step" dataDxfId="1082"/>
    <tableColumn id="2" xr3:uid="{00000000-0010-0000-A000-000002000000}" name="Action" dataDxfId="1081"/>
    <tableColumn id="3" xr3:uid="{00000000-0010-0000-A000-000003000000}" name="Message | Input" dataDxfId="1080"/>
    <tableColumn id="5" xr3:uid="{00000000-0010-0000-A000-000005000000}" name="PEG" dataDxfId="1079"/>
    <tableColumn id="4" xr3:uid="{00000000-0010-0000-A000-000004000000}" name="Notes &amp; Data Settings" dataDxfId="1078"/>
  </tableColumns>
  <tableStyleInfo name="TableStyleLight1" showFirstColumn="0" showLastColumn="0" showRowStripes="1" showColumnStripes="0"/>
</table>
</file>

<file path=xl/tables/table1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4" xr:uid="{00000000-000C-0000-FFFF-FFFFA1000000}" name="Table257519913140106110151155170178204225" displayName="Table257519913140106110151155170178204225" ref="A7:E44" totalsRowShown="0" headerRowDxfId="1065" headerRowBorderDxfId="1064" tableBorderDxfId="1063" totalsRowBorderDxfId="1062">
  <autoFilter ref="A7:E44" xr:uid="{00000000-0009-0000-0100-0000E0000000}"/>
  <tableColumns count="5">
    <tableColumn id="1" xr3:uid="{00000000-0010-0000-A100-000001000000}" name="Step" dataDxfId="1061"/>
    <tableColumn id="2" xr3:uid="{00000000-0010-0000-A100-000002000000}" name="Action" dataDxfId="1060"/>
    <tableColumn id="3" xr3:uid="{00000000-0010-0000-A100-000003000000}" name="Message | Input" dataDxfId="1059"/>
    <tableColumn id="5" xr3:uid="{00000000-0010-0000-A100-000005000000}" name="PEG" dataDxfId="1058"/>
    <tableColumn id="4" xr3:uid="{00000000-0010-0000-A100-000004000000}" name="Notes &amp; Data Settings" dataDxfId="1057"/>
  </tableColumns>
  <tableStyleInfo name="TableStyleLight1" showFirstColumn="0" showLastColumn="0" showRowStripes="1" showColumnStripes="0"/>
</table>
</file>

<file path=xl/tables/table1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6" xr:uid="{00000000-000C-0000-FFFF-FFFFA2000000}" name="Table257519913140106110151155170178204227" displayName="Table257519913140106110151155170178204227" ref="A7:E44" totalsRowShown="0" headerRowDxfId="1044" headerRowBorderDxfId="1043" tableBorderDxfId="1042" totalsRowBorderDxfId="1041">
  <autoFilter ref="A7:E44" xr:uid="{00000000-0009-0000-0100-0000E2000000}"/>
  <tableColumns count="5">
    <tableColumn id="1" xr3:uid="{00000000-0010-0000-A200-000001000000}" name="Step" dataDxfId="1040"/>
    <tableColumn id="2" xr3:uid="{00000000-0010-0000-A200-000002000000}" name="Action" dataDxfId="1039"/>
    <tableColumn id="3" xr3:uid="{00000000-0010-0000-A200-000003000000}" name="Message | Input" dataDxfId="1038"/>
    <tableColumn id="5" xr3:uid="{00000000-0010-0000-A200-000005000000}" name="PEG" dataDxfId="1037"/>
    <tableColumn id="4" xr3:uid="{00000000-0010-0000-A200-000004000000}" name="Notes &amp; Data Settings" dataDxfId="1036"/>
  </tableColumns>
  <tableStyleInfo name="TableStyleLight1" showFirstColumn="0" showLastColumn="0" showRowStripes="1" showColumnStripes="0"/>
</table>
</file>

<file path=xl/tables/table1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8" xr:uid="{00000000-000C-0000-FFFF-FFFFA3000000}" name="Table257519913140106110151155170178204229" displayName="Table257519913140106110151155170178204229" ref="A7:E44" totalsRowShown="0" headerRowDxfId="1023" headerRowBorderDxfId="1022" tableBorderDxfId="1021" totalsRowBorderDxfId="1020">
  <autoFilter ref="A7:E44" xr:uid="{00000000-0009-0000-0100-0000E4000000}"/>
  <tableColumns count="5">
    <tableColumn id="1" xr3:uid="{00000000-0010-0000-A300-000001000000}" name="Step" dataDxfId="1019"/>
    <tableColumn id="2" xr3:uid="{00000000-0010-0000-A300-000002000000}" name="Action" dataDxfId="1018"/>
    <tableColumn id="3" xr3:uid="{00000000-0010-0000-A300-000003000000}" name="Message | Input" dataDxfId="1017"/>
    <tableColumn id="5" xr3:uid="{00000000-0010-0000-A300-000005000000}" name="PEG" dataDxfId="1016"/>
    <tableColumn id="4" xr3:uid="{00000000-0010-0000-A300-000004000000}" name="Notes &amp; Data Settings" dataDxfId="1015"/>
  </tableColumns>
  <tableStyleInfo name="TableStyleLight1" showFirstColumn="0" showLastColumn="0" showRowStripes="1" showColumnStripes="0"/>
</table>
</file>

<file path=xl/tables/table1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0" xr:uid="{00000000-000C-0000-FFFF-FFFFA4000000}" name="Table257519913140106110151155170178204231" displayName="Table257519913140106110151155170178204231" ref="A7:E44" totalsRowShown="0" headerRowDxfId="1002" headerRowBorderDxfId="1001" tableBorderDxfId="1000" totalsRowBorderDxfId="999">
  <autoFilter ref="A7:E44" xr:uid="{00000000-0009-0000-0100-0000E6000000}"/>
  <tableColumns count="5">
    <tableColumn id="1" xr3:uid="{00000000-0010-0000-A400-000001000000}" name="Step" dataDxfId="998"/>
    <tableColumn id="2" xr3:uid="{00000000-0010-0000-A400-000002000000}" name="Action" dataDxfId="997"/>
    <tableColumn id="3" xr3:uid="{00000000-0010-0000-A400-000003000000}" name="Message | Input" dataDxfId="996"/>
    <tableColumn id="5" xr3:uid="{00000000-0010-0000-A400-000005000000}" name="PEG" dataDxfId="995"/>
    <tableColumn id="4" xr3:uid="{00000000-0010-0000-A400-000004000000}" name="Notes &amp; Data Settings" dataDxfId="994"/>
  </tableColumns>
  <tableStyleInfo name="TableStyleLight1" showFirstColumn="0" showLastColumn="0" showRowStripes="1" showColumnStripes="0"/>
</table>
</file>

<file path=xl/tables/table1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2" xr:uid="{00000000-000C-0000-FFFF-FFFFA5000000}" name="Table257519913140106110151155170178204233" displayName="Table257519913140106110151155170178204233" ref="A7:E44" totalsRowShown="0" headerRowDxfId="981" headerRowBorderDxfId="980" tableBorderDxfId="979" totalsRowBorderDxfId="978">
  <autoFilter ref="A7:E44" xr:uid="{00000000-0009-0000-0100-0000E8000000}"/>
  <tableColumns count="5">
    <tableColumn id="1" xr3:uid="{00000000-0010-0000-A500-000001000000}" name="Step" dataDxfId="977"/>
    <tableColumn id="2" xr3:uid="{00000000-0010-0000-A500-000002000000}" name="Action" dataDxfId="976"/>
    <tableColumn id="3" xr3:uid="{00000000-0010-0000-A500-000003000000}" name="Message | Input" dataDxfId="975"/>
    <tableColumn id="5" xr3:uid="{00000000-0010-0000-A500-000005000000}" name="PEG" dataDxfId="974"/>
    <tableColumn id="4" xr3:uid="{00000000-0010-0000-A500-000004000000}" name="Notes &amp; Data Settings" dataDxfId="973"/>
  </tableColumns>
  <tableStyleInfo name="TableStyleLight1" showFirstColumn="0" showLastColumn="0" showRowStripes="1" showColumnStripes="0"/>
</table>
</file>

<file path=xl/tables/table1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4" xr:uid="{00000000-000C-0000-FFFF-FFFFA6000000}" name="Table257519913140106110151155170178204235" displayName="Table257519913140106110151155170178204235" ref="A7:E44" totalsRowShown="0" headerRowDxfId="960" headerRowBorderDxfId="959" tableBorderDxfId="958" totalsRowBorderDxfId="957">
  <autoFilter ref="A7:E44" xr:uid="{00000000-0009-0000-0100-0000EA000000}"/>
  <tableColumns count="5">
    <tableColumn id="1" xr3:uid="{00000000-0010-0000-A600-000001000000}" name="Step" dataDxfId="956"/>
    <tableColumn id="2" xr3:uid="{00000000-0010-0000-A600-000002000000}" name="Action" dataDxfId="955"/>
    <tableColumn id="3" xr3:uid="{00000000-0010-0000-A600-000003000000}" name="Message | Input" dataDxfId="954"/>
    <tableColumn id="5" xr3:uid="{00000000-0010-0000-A600-000005000000}" name="PEG" dataDxfId="953"/>
    <tableColumn id="4" xr3:uid="{00000000-0010-0000-A600-000004000000}" name="Notes &amp; Data Settings" dataDxfId="952"/>
  </tableColumns>
  <tableStyleInfo name="TableStyleLight1" showFirstColumn="0" showLastColumn="0" showRowStripes="1" showColumnStripes="0"/>
</table>
</file>

<file path=xl/tables/table1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6" xr:uid="{00000000-000C-0000-FFFF-FFFFA7000000}" name="Table257519913140106110151155170178204237" displayName="Table257519913140106110151155170178204237" ref="A7:E44" totalsRowShown="0" headerRowDxfId="939" headerRowBorderDxfId="938" tableBorderDxfId="937" totalsRowBorderDxfId="936">
  <autoFilter ref="A7:E44" xr:uid="{00000000-0009-0000-0100-0000EC000000}"/>
  <tableColumns count="5">
    <tableColumn id="1" xr3:uid="{00000000-0010-0000-A700-000001000000}" name="Step" dataDxfId="935"/>
    <tableColumn id="2" xr3:uid="{00000000-0010-0000-A700-000002000000}" name="Action" dataDxfId="934"/>
    <tableColumn id="3" xr3:uid="{00000000-0010-0000-A700-000003000000}" name="Message | Input" dataDxfId="933"/>
    <tableColumn id="5" xr3:uid="{00000000-0010-0000-A700-000005000000}" name="PEG" dataDxfId="932"/>
    <tableColumn id="4" xr3:uid="{00000000-0010-0000-A700-000004000000}" name="Notes &amp; Data Settings" dataDxfId="931"/>
  </tableColumns>
  <tableStyleInfo name="TableStyleLight1" showFirstColumn="0" showLastColumn="0" showRowStripes="1" showColumnStripes="0"/>
</table>
</file>

<file path=xl/tables/table1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8" xr:uid="{00000000-000C-0000-FFFF-FFFFA8000000}" name="Table257519913140106110151155170178204239" displayName="Table257519913140106110151155170178204239" ref="A7:E44" totalsRowShown="0" headerRowDxfId="918" headerRowBorderDxfId="917" tableBorderDxfId="916" totalsRowBorderDxfId="915">
  <autoFilter ref="A7:E44" xr:uid="{00000000-0009-0000-0100-0000EE000000}"/>
  <tableColumns count="5">
    <tableColumn id="1" xr3:uid="{00000000-0010-0000-A800-000001000000}" name="Step" dataDxfId="914"/>
    <tableColumn id="2" xr3:uid="{00000000-0010-0000-A800-000002000000}" name="Action" dataDxfId="913"/>
    <tableColumn id="3" xr3:uid="{00000000-0010-0000-A800-000003000000}" name="Message | Input" dataDxfId="912"/>
    <tableColumn id="5" xr3:uid="{00000000-0010-0000-A800-000005000000}" name="PEG" dataDxfId="911"/>
    <tableColumn id="4" xr3:uid="{00000000-0010-0000-A800-000004000000}" name="Notes &amp; Data Settings" dataDxfId="910"/>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0000000}" name="Table25755252691024253334" displayName="Table25755252691024253334" ref="A7:E23" totalsRowShown="0" headerRowDxfId="6330" headerRowBorderDxfId="6329" tableBorderDxfId="6328" totalsRowBorderDxfId="6327">
  <autoFilter ref="A7:E23" xr:uid="{00000000-0009-0000-0100-000021000000}"/>
  <tableColumns count="5">
    <tableColumn id="1" xr3:uid="{00000000-0010-0000-1000-000001000000}" name="Step" dataDxfId="6326"/>
    <tableColumn id="2" xr3:uid="{00000000-0010-0000-1000-000002000000}" name="Action" dataDxfId="6325"/>
    <tableColumn id="3" xr3:uid="{00000000-0010-0000-1000-000003000000}" name="Message | Input" dataDxfId="6324"/>
    <tableColumn id="5" xr3:uid="{00000000-0010-0000-1000-000005000000}" name="PEG" dataDxfId="6323"/>
    <tableColumn id="4" xr3:uid="{00000000-0010-0000-1000-000004000000}" name="Notes &amp; Data Settings" dataDxfId="6322"/>
  </tableColumns>
  <tableStyleInfo name="TableStyleLight1" showFirstColumn="0" showLastColumn="0" showRowStripes="1" showColumnStripes="0"/>
</table>
</file>

<file path=xl/tables/table1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0" xr:uid="{00000000-000C-0000-FFFF-FFFFA9000000}" name="Table257519913140106110151155170178204241" displayName="Table257519913140106110151155170178204241" ref="A7:E44" totalsRowShown="0" headerRowDxfId="897" headerRowBorderDxfId="896" tableBorderDxfId="895" totalsRowBorderDxfId="894">
  <autoFilter ref="A7:E44" xr:uid="{00000000-0009-0000-0100-0000F0000000}"/>
  <tableColumns count="5">
    <tableColumn id="1" xr3:uid="{00000000-0010-0000-A900-000001000000}" name="Step" dataDxfId="893"/>
    <tableColumn id="2" xr3:uid="{00000000-0010-0000-A900-000002000000}" name="Action" dataDxfId="892"/>
    <tableColumn id="3" xr3:uid="{00000000-0010-0000-A900-000003000000}" name="Message | Input" dataDxfId="891"/>
    <tableColumn id="5" xr3:uid="{00000000-0010-0000-A900-000005000000}" name="PEG" dataDxfId="890"/>
    <tableColumn id="4" xr3:uid="{00000000-0010-0000-A900-000004000000}" name="Notes &amp; Data Settings" dataDxfId="889"/>
  </tableColumns>
  <tableStyleInfo name="TableStyleLight1" showFirstColumn="0" showLastColumn="0" showRowStripes="1" showColumnStripes="0"/>
</table>
</file>

<file path=xl/tables/table1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2" xr:uid="{00000000-000C-0000-FFFF-FFFFAA000000}" name="Table257519913140106110151155170178204243" displayName="Table257519913140106110151155170178204243" ref="A7:E44" totalsRowShown="0" headerRowDxfId="876" headerRowBorderDxfId="875" tableBorderDxfId="874" totalsRowBorderDxfId="873">
  <autoFilter ref="A7:E44" xr:uid="{00000000-0009-0000-0100-0000F2000000}"/>
  <tableColumns count="5">
    <tableColumn id="1" xr3:uid="{00000000-0010-0000-AA00-000001000000}" name="Step" dataDxfId="872"/>
    <tableColumn id="2" xr3:uid="{00000000-0010-0000-AA00-000002000000}" name="Action" dataDxfId="871"/>
    <tableColumn id="3" xr3:uid="{00000000-0010-0000-AA00-000003000000}" name="Message | Input" dataDxfId="870"/>
    <tableColumn id="5" xr3:uid="{00000000-0010-0000-AA00-000005000000}" name="PEG" dataDxfId="869"/>
    <tableColumn id="4" xr3:uid="{00000000-0010-0000-AA00-000004000000}" name="Notes &amp; Data Settings" dataDxfId="868"/>
  </tableColumns>
  <tableStyleInfo name="TableStyleLight1" showFirstColumn="0" showLastColumn="0" showRowStripes="1" showColumnStripes="0"/>
</table>
</file>

<file path=xl/tables/table1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4" xr:uid="{00000000-000C-0000-FFFF-FFFFAB000000}" name="Table257519913140106110151155170178204245" displayName="Table257519913140106110151155170178204245" ref="A7:E44" totalsRowShown="0" headerRowDxfId="855" headerRowBorderDxfId="854" tableBorderDxfId="853" totalsRowBorderDxfId="852">
  <autoFilter ref="A7:E44" xr:uid="{00000000-0009-0000-0100-0000F4000000}"/>
  <tableColumns count="5">
    <tableColumn id="1" xr3:uid="{00000000-0010-0000-AB00-000001000000}" name="Step" dataDxfId="851"/>
    <tableColumn id="2" xr3:uid="{00000000-0010-0000-AB00-000002000000}" name="Action" dataDxfId="850"/>
    <tableColumn id="3" xr3:uid="{00000000-0010-0000-AB00-000003000000}" name="Message | Input" dataDxfId="849"/>
    <tableColumn id="5" xr3:uid="{00000000-0010-0000-AB00-000005000000}" name="PEG" dataDxfId="848"/>
    <tableColumn id="4" xr3:uid="{00000000-0010-0000-AB00-000004000000}" name="Notes &amp; Data Settings" dataDxfId="847"/>
  </tableColumns>
  <tableStyleInfo name="TableStyleLight1" showFirstColumn="0" showLastColumn="0" showRowStripes="1" showColumnStripes="0"/>
</table>
</file>

<file path=xl/tables/table1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6" xr:uid="{00000000-000C-0000-FFFF-FFFFAC000000}" name="Table257519913140106110151155170178204247" displayName="Table257519913140106110151155170178204247" ref="A7:E44" totalsRowShown="0" headerRowDxfId="834" headerRowBorderDxfId="833" tableBorderDxfId="832" totalsRowBorderDxfId="831">
  <autoFilter ref="A7:E44" xr:uid="{00000000-0009-0000-0100-0000F6000000}"/>
  <tableColumns count="5">
    <tableColumn id="1" xr3:uid="{00000000-0010-0000-AC00-000001000000}" name="Step" dataDxfId="830"/>
    <tableColumn id="2" xr3:uid="{00000000-0010-0000-AC00-000002000000}" name="Action" dataDxfId="829"/>
    <tableColumn id="3" xr3:uid="{00000000-0010-0000-AC00-000003000000}" name="Message | Input" dataDxfId="828"/>
    <tableColumn id="5" xr3:uid="{00000000-0010-0000-AC00-000005000000}" name="PEG" dataDxfId="827"/>
    <tableColumn id="4" xr3:uid="{00000000-0010-0000-AC00-000004000000}" name="Notes &amp; Data Settings" dataDxfId="826"/>
  </tableColumns>
  <tableStyleInfo name="TableStyleLight1" showFirstColumn="0" showLastColumn="0" showRowStripes="1" showColumnStripes="0"/>
</table>
</file>

<file path=xl/tables/table1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8" xr:uid="{00000000-000C-0000-FFFF-FFFFAD000000}" name="Table257519913140106110151155170178204249" displayName="Table257519913140106110151155170178204249" ref="A7:E44" totalsRowShown="0" headerRowDxfId="813" headerRowBorderDxfId="812" tableBorderDxfId="811" totalsRowBorderDxfId="810">
  <autoFilter ref="A7:E44" xr:uid="{00000000-0009-0000-0100-0000F8000000}"/>
  <tableColumns count="5">
    <tableColumn id="1" xr3:uid="{00000000-0010-0000-AD00-000001000000}" name="Step" dataDxfId="809"/>
    <tableColumn id="2" xr3:uid="{00000000-0010-0000-AD00-000002000000}" name="Action" dataDxfId="808"/>
    <tableColumn id="3" xr3:uid="{00000000-0010-0000-AD00-000003000000}" name="Message | Input" dataDxfId="807"/>
    <tableColumn id="5" xr3:uid="{00000000-0010-0000-AD00-000005000000}" name="PEG" dataDxfId="806"/>
    <tableColumn id="4" xr3:uid="{00000000-0010-0000-AD00-000004000000}" name="Notes &amp; Data Settings" dataDxfId="805"/>
  </tableColumns>
  <tableStyleInfo name="TableStyleLight1" showFirstColumn="0" showLastColumn="0" showRowStripes="1" showColumnStripes="0"/>
</table>
</file>

<file path=xl/tables/table1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0" xr:uid="{00000000-000C-0000-FFFF-FFFFAE000000}" name="Table257519913140106110151155170178204251" displayName="Table257519913140106110151155170178204251" ref="A7:E44" totalsRowShown="0" headerRowDxfId="792" headerRowBorderDxfId="791" tableBorderDxfId="790" totalsRowBorderDxfId="789">
  <autoFilter ref="A7:E44" xr:uid="{00000000-0009-0000-0100-0000FA000000}"/>
  <tableColumns count="5">
    <tableColumn id="1" xr3:uid="{00000000-0010-0000-AE00-000001000000}" name="Step" dataDxfId="788"/>
    <tableColumn id="2" xr3:uid="{00000000-0010-0000-AE00-000002000000}" name="Action" dataDxfId="787"/>
    <tableColumn id="3" xr3:uid="{00000000-0010-0000-AE00-000003000000}" name="Message | Input" dataDxfId="786"/>
    <tableColumn id="5" xr3:uid="{00000000-0010-0000-AE00-000005000000}" name="PEG" dataDxfId="785"/>
    <tableColumn id="4" xr3:uid="{00000000-0010-0000-AE00-000004000000}" name="Notes &amp; Data Settings" dataDxfId="784"/>
  </tableColumns>
  <tableStyleInfo name="TableStyleLight1" showFirstColumn="0" showLastColumn="0" showRowStripes="1" showColumnStripes="0"/>
</table>
</file>

<file path=xl/tables/table1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2" xr:uid="{00000000-000C-0000-FFFF-FFFFAF000000}" name="Table257519913140106110151155170178204253" displayName="Table257519913140106110151155170178204253" ref="A7:E44" totalsRowShown="0" headerRowDxfId="771" headerRowBorderDxfId="770" tableBorderDxfId="769" totalsRowBorderDxfId="768">
  <autoFilter ref="A7:E44" xr:uid="{00000000-0009-0000-0100-0000FC000000}"/>
  <tableColumns count="5">
    <tableColumn id="1" xr3:uid="{00000000-0010-0000-AF00-000001000000}" name="Step" dataDxfId="767"/>
    <tableColumn id="2" xr3:uid="{00000000-0010-0000-AF00-000002000000}" name="Action" dataDxfId="766"/>
    <tableColumn id="3" xr3:uid="{00000000-0010-0000-AF00-000003000000}" name="Message | Input" dataDxfId="765"/>
    <tableColumn id="5" xr3:uid="{00000000-0010-0000-AF00-000005000000}" name="PEG" dataDxfId="764"/>
    <tableColumn id="4" xr3:uid="{00000000-0010-0000-AF00-000004000000}" name="Notes &amp; Data Settings" dataDxfId="763"/>
  </tableColumns>
  <tableStyleInfo name="TableStyleLight1" showFirstColumn="0" showLastColumn="0" showRowStripes="1" showColumnStripes="0"/>
</table>
</file>

<file path=xl/tables/table1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4" xr:uid="{00000000-000C-0000-FFFF-FFFFB0000000}" name="Table257519913140106110151155170178204255" displayName="Table257519913140106110151155170178204255" ref="A7:E44" totalsRowShown="0" headerRowDxfId="750" headerRowBorderDxfId="749" tableBorderDxfId="748" totalsRowBorderDxfId="747">
  <autoFilter ref="A7:E44" xr:uid="{00000000-0009-0000-0100-0000FE000000}"/>
  <tableColumns count="5">
    <tableColumn id="1" xr3:uid="{00000000-0010-0000-B000-000001000000}" name="Step" dataDxfId="746"/>
    <tableColumn id="2" xr3:uid="{00000000-0010-0000-B000-000002000000}" name="Action" dataDxfId="745"/>
    <tableColumn id="3" xr3:uid="{00000000-0010-0000-B000-000003000000}" name="Message | Input" dataDxfId="744"/>
    <tableColumn id="5" xr3:uid="{00000000-0010-0000-B000-000005000000}" name="PEG" dataDxfId="743"/>
    <tableColumn id="4" xr3:uid="{00000000-0010-0000-B000-000004000000}" name="Notes &amp; Data Settings" dataDxfId="742"/>
  </tableColumns>
  <tableStyleInfo name="TableStyleLight1" showFirstColumn="0" showLastColumn="0" showRowStripes="1" showColumnStripes="0"/>
</table>
</file>

<file path=xl/tables/table1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6" xr:uid="{00000000-000C-0000-FFFF-FFFFB1000000}" name="Table257519913140106110151155170178204257" displayName="Table257519913140106110151155170178204257" ref="A7:E44" totalsRowShown="0" headerRowDxfId="729" headerRowBorderDxfId="728" tableBorderDxfId="727" totalsRowBorderDxfId="726">
  <autoFilter ref="A7:E44" xr:uid="{00000000-0009-0000-0100-000000010000}"/>
  <tableColumns count="5">
    <tableColumn id="1" xr3:uid="{00000000-0010-0000-B100-000001000000}" name="Step" dataDxfId="725"/>
    <tableColumn id="2" xr3:uid="{00000000-0010-0000-B100-000002000000}" name="Action" dataDxfId="724"/>
    <tableColumn id="3" xr3:uid="{00000000-0010-0000-B100-000003000000}" name="Message | Input" dataDxfId="723"/>
    <tableColumn id="5" xr3:uid="{00000000-0010-0000-B100-000005000000}" name="PEG" dataDxfId="722"/>
    <tableColumn id="4" xr3:uid="{00000000-0010-0000-B100-000004000000}" name="Notes &amp; Data Settings" dataDxfId="721"/>
  </tableColumns>
  <tableStyleInfo name="TableStyleLight1" showFirstColumn="0" showLastColumn="0" showRowStripes="1" showColumnStripes="0"/>
</table>
</file>

<file path=xl/tables/table1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8" xr:uid="{00000000-000C-0000-FFFF-FFFFB2000000}" name="Table257519913140106110151155170178204259" displayName="Table257519913140106110151155170178204259" ref="A7:E44" totalsRowShown="0" headerRowDxfId="708" headerRowBorderDxfId="707" tableBorderDxfId="706" totalsRowBorderDxfId="705">
  <autoFilter ref="A7:E44" xr:uid="{00000000-0009-0000-0100-000002010000}"/>
  <tableColumns count="5">
    <tableColumn id="1" xr3:uid="{00000000-0010-0000-B200-000001000000}" name="Step" dataDxfId="704"/>
    <tableColumn id="2" xr3:uid="{00000000-0010-0000-B200-000002000000}" name="Action" dataDxfId="703"/>
    <tableColumn id="3" xr3:uid="{00000000-0010-0000-B200-000003000000}" name="Message | Input" dataDxfId="702"/>
    <tableColumn id="5" xr3:uid="{00000000-0010-0000-B200-000005000000}" name="PEG" dataDxfId="701"/>
    <tableColumn id="4" xr3:uid="{00000000-0010-0000-B200-000004000000}" name="Notes &amp; Data Settings" dataDxfId="700"/>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11000000}" name="Table2575525269102425333442" displayName="Table2575525269102425333442" ref="A7:E23" totalsRowShown="0" headerRowDxfId="6281" headerRowBorderDxfId="6280" tableBorderDxfId="6279" totalsRowBorderDxfId="6278">
  <autoFilter ref="A7:E23" xr:uid="{00000000-0009-0000-0100-000029000000}"/>
  <tableColumns count="5">
    <tableColumn id="1" xr3:uid="{00000000-0010-0000-1100-000001000000}" name="Step" dataDxfId="6277"/>
    <tableColumn id="2" xr3:uid="{00000000-0010-0000-1100-000002000000}" name="Action" dataDxfId="6276"/>
    <tableColumn id="3" xr3:uid="{00000000-0010-0000-1100-000003000000}" name="Message | Input" dataDxfId="6275"/>
    <tableColumn id="5" xr3:uid="{00000000-0010-0000-1100-000005000000}" name="PEG" dataDxfId="6274"/>
    <tableColumn id="4" xr3:uid="{00000000-0010-0000-1100-000004000000}" name="Notes &amp; Data Settings" dataDxfId="6273"/>
  </tableColumns>
  <tableStyleInfo name="TableStyleLight1" showFirstColumn="0" showLastColumn="0" showRowStripes="1" showColumnStripes="0"/>
</table>
</file>

<file path=xl/tables/table1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0" xr:uid="{00000000-000C-0000-FFFF-FFFFB3000000}" name="Table257519913140106110151155170178204261" displayName="Table257519913140106110151155170178204261" ref="A7:E44" totalsRowShown="0" headerRowDxfId="687" headerRowBorderDxfId="686" tableBorderDxfId="685" totalsRowBorderDxfId="684">
  <autoFilter ref="A7:E44" xr:uid="{00000000-0009-0000-0100-000004010000}"/>
  <tableColumns count="5">
    <tableColumn id="1" xr3:uid="{00000000-0010-0000-B300-000001000000}" name="Step" dataDxfId="683"/>
    <tableColumn id="2" xr3:uid="{00000000-0010-0000-B300-000002000000}" name="Action" dataDxfId="682"/>
    <tableColumn id="3" xr3:uid="{00000000-0010-0000-B300-000003000000}" name="Message | Input" dataDxfId="681"/>
    <tableColumn id="5" xr3:uid="{00000000-0010-0000-B300-000005000000}" name="PEG" dataDxfId="680"/>
    <tableColumn id="4" xr3:uid="{00000000-0010-0000-B300-000004000000}" name="Notes &amp; Data Settings" dataDxfId="679"/>
  </tableColumns>
  <tableStyleInfo name="TableStyleLight1" showFirstColumn="0" showLastColumn="0" showRowStripes="1" showColumnStripes="0"/>
</table>
</file>

<file path=xl/tables/table1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2" xr:uid="{00000000-000C-0000-FFFF-FFFFB4000000}" name="Table257519913140106110151155170178204263" displayName="Table257519913140106110151155170178204263" ref="A7:E44" totalsRowShown="0" headerRowDxfId="666" headerRowBorderDxfId="665" tableBorderDxfId="664" totalsRowBorderDxfId="663">
  <autoFilter ref="A7:E44" xr:uid="{00000000-0009-0000-0100-000006010000}"/>
  <tableColumns count="5">
    <tableColumn id="1" xr3:uid="{00000000-0010-0000-B400-000001000000}" name="Step" dataDxfId="662"/>
    <tableColumn id="2" xr3:uid="{00000000-0010-0000-B400-000002000000}" name="Action" dataDxfId="661"/>
    <tableColumn id="3" xr3:uid="{00000000-0010-0000-B400-000003000000}" name="Message | Input" dataDxfId="660"/>
    <tableColumn id="5" xr3:uid="{00000000-0010-0000-B400-000005000000}" name="PEG" dataDxfId="659"/>
    <tableColumn id="4" xr3:uid="{00000000-0010-0000-B400-000004000000}" name="Notes &amp; Data Settings" dataDxfId="658"/>
  </tableColumns>
  <tableStyleInfo name="TableStyleLight1" showFirstColumn="0" showLastColumn="0" showRowStripes="1" showColumnStripes="0"/>
</table>
</file>

<file path=xl/tables/table1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4" xr:uid="{00000000-000C-0000-FFFF-FFFFB5000000}" name="Table257519913140106110151155170178204265" displayName="Table257519913140106110151155170178204265" ref="A7:E44" totalsRowShown="0" headerRowDxfId="645" headerRowBorderDxfId="644" tableBorderDxfId="643" totalsRowBorderDxfId="642">
  <autoFilter ref="A7:E44" xr:uid="{00000000-0009-0000-0100-000008010000}"/>
  <tableColumns count="5">
    <tableColumn id="1" xr3:uid="{00000000-0010-0000-B500-000001000000}" name="Step" dataDxfId="641"/>
    <tableColumn id="2" xr3:uid="{00000000-0010-0000-B500-000002000000}" name="Action" dataDxfId="640"/>
    <tableColumn id="3" xr3:uid="{00000000-0010-0000-B500-000003000000}" name="Message | Input" dataDxfId="639"/>
    <tableColumn id="5" xr3:uid="{00000000-0010-0000-B500-000005000000}" name="PEG" dataDxfId="638"/>
    <tableColumn id="4" xr3:uid="{00000000-0010-0000-B500-000004000000}" name="Notes &amp; Data Settings" dataDxfId="637"/>
  </tableColumns>
  <tableStyleInfo name="TableStyleLight1" showFirstColumn="0" showLastColumn="0" showRowStripes="1" showColumnStripes="0"/>
</table>
</file>

<file path=xl/tables/table1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6" xr:uid="{00000000-000C-0000-FFFF-FFFFB6000000}" name="Table257519913140106110151155170178204267" displayName="Table257519913140106110151155170178204267" ref="A7:E44" totalsRowShown="0" headerRowDxfId="624" headerRowBorderDxfId="623" tableBorderDxfId="622" totalsRowBorderDxfId="621">
  <autoFilter ref="A7:E44" xr:uid="{00000000-0009-0000-0100-00000A010000}"/>
  <tableColumns count="5">
    <tableColumn id="1" xr3:uid="{00000000-0010-0000-B600-000001000000}" name="Step" dataDxfId="620"/>
    <tableColumn id="2" xr3:uid="{00000000-0010-0000-B600-000002000000}" name="Action" dataDxfId="619"/>
    <tableColumn id="3" xr3:uid="{00000000-0010-0000-B600-000003000000}" name="Message | Input" dataDxfId="618"/>
    <tableColumn id="5" xr3:uid="{00000000-0010-0000-B600-000005000000}" name="PEG" dataDxfId="617"/>
    <tableColumn id="4" xr3:uid="{00000000-0010-0000-B600-000004000000}" name="Notes &amp; Data Settings" dataDxfId="616"/>
  </tableColumns>
  <tableStyleInfo name="TableStyleLight1" showFirstColumn="0" showLastColumn="0" showRowStripes="1" showColumnStripes="0"/>
</table>
</file>

<file path=xl/tables/table1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8" xr:uid="{00000000-000C-0000-FFFF-FFFFB7000000}" name="Table257519913140106110151155170178204269" displayName="Table257519913140106110151155170178204269" ref="A7:E44" totalsRowShown="0" headerRowDxfId="603" headerRowBorderDxfId="602" tableBorderDxfId="601" totalsRowBorderDxfId="600">
  <autoFilter ref="A7:E44" xr:uid="{00000000-0009-0000-0100-00000C010000}"/>
  <tableColumns count="5">
    <tableColumn id="1" xr3:uid="{00000000-0010-0000-B700-000001000000}" name="Step" dataDxfId="599"/>
    <tableColumn id="2" xr3:uid="{00000000-0010-0000-B700-000002000000}" name="Action" dataDxfId="598"/>
    <tableColumn id="3" xr3:uid="{00000000-0010-0000-B700-000003000000}" name="Message | Input" dataDxfId="597"/>
    <tableColumn id="5" xr3:uid="{00000000-0010-0000-B700-000005000000}" name="PEG" dataDxfId="596"/>
    <tableColumn id="4" xr3:uid="{00000000-0010-0000-B700-000004000000}" name="Notes &amp; Data Settings" dataDxfId="595"/>
  </tableColumns>
  <tableStyleInfo name="TableStyleLight1" showFirstColumn="0" showLastColumn="0" showRowStripes="1" showColumnStripes="0"/>
</table>
</file>

<file path=xl/tables/table1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0" xr:uid="{00000000-000C-0000-FFFF-FFFFB8000000}" name="Table257519913140106110151155170178204271" displayName="Table257519913140106110151155170178204271" ref="A7:E44" totalsRowShown="0" headerRowDxfId="582" headerRowBorderDxfId="581" tableBorderDxfId="580" totalsRowBorderDxfId="579">
  <autoFilter ref="A7:E44" xr:uid="{00000000-0009-0000-0100-00000E010000}"/>
  <tableColumns count="5">
    <tableColumn id="1" xr3:uid="{00000000-0010-0000-B800-000001000000}" name="Step" dataDxfId="578"/>
    <tableColumn id="2" xr3:uid="{00000000-0010-0000-B800-000002000000}" name="Action" dataDxfId="577"/>
    <tableColumn id="3" xr3:uid="{00000000-0010-0000-B800-000003000000}" name="Message | Input" dataDxfId="576"/>
    <tableColumn id="5" xr3:uid="{00000000-0010-0000-B800-000005000000}" name="PEG" dataDxfId="575"/>
    <tableColumn id="4" xr3:uid="{00000000-0010-0000-B800-000004000000}" name="Notes &amp; Data Settings" dataDxfId="574"/>
  </tableColumns>
  <tableStyleInfo name="TableStyleLight1" showFirstColumn="0" showLastColumn="0" showRowStripes="1" showColumnStripes="0"/>
</table>
</file>

<file path=xl/tables/table1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2" xr:uid="{00000000-000C-0000-FFFF-FFFFB9000000}" name="Table257519913140106110151155170178204273" displayName="Table257519913140106110151155170178204273" ref="A7:E44" totalsRowShown="0" headerRowDxfId="561" headerRowBorderDxfId="560" tableBorderDxfId="559" totalsRowBorderDxfId="558">
  <autoFilter ref="A7:E44" xr:uid="{00000000-0009-0000-0100-000010010000}"/>
  <tableColumns count="5">
    <tableColumn id="1" xr3:uid="{00000000-0010-0000-B900-000001000000}" name="Step" dataDxfId="557"/>
    <tableColumn id="2" xr3:uid="{00000000-0010-0000-B900-000002000000}" name="Action" dataDxfId="556"/>
    <tableColumn id="3" xr3:uid="{00000000-0010-0000-B900-000003000000}" name="Message | Input" dataDxfId="555"/>
    <tableColumn id="5" xr3:uid="{00000000-0010-0000-B900-000005000000}" name="PEG" dataDxfId="554"/>
    <tableColumn id="4" xr3:uid="{00000000-0010-0000-B900-000004000000}" name="Notes &amp; Data Settings" dataDxfId="553"/>
  </tableColumns>
  <tableStyleInfo name="TableStyleLight1" showFirstColumn="0" showLastColumn="0" showRowStripes="1" showColumnStripes="0"/>
</table>
</file>

<file path=xl/tables/table1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4" xr:uid="{00000000-000C-0000-FFFF-FFFFBA000000}" name="Table257519913140106110151155170178204275" displayName="Table257519913140106110151155170178204275" ref="A7:E44" totalsRowShown="0" headerRowDxfId="540" headerRowBorderDxfId="539" tableBorderDxfId="538" totalsRowBorderDxfId="537">
  <autoFilter ref="A7:E44" xr:uid="{00000000-0009-0000-0100-000012010000}"/>
  <tableColumns count="5">
    <tableColumn id="1" xr3:uid="{00000000-0010-0000-BA00-000001000000}" name="Step" dataDxfId="536"/>
    <tableColumn id="2" xr3:uid="{00000000-0010-0000-BA00-000002000000}" name="Action" dataDxfId="535"/>
    <tableColumn id="3" xr3:uid="{00000000-0010-0000-BA00-000003000000}" name="Message | Input" dataDxfId="534"/>
    <tableColumn id="5" xr3:uid="{00000000-0010-0000-BA00-000005000000}" name="PEG" dataDxfId="533"/>
    <tableColumn id="4" xr3:uid="{00000000-0010-0000-BA00-000004000000}" name="Notes &amp; Data Settings" dataDxfId="532"/>
  </tableColumns>
  <tableStyleInfo name="TableStyleLight1" showFirstColumn="0" showLastColumn="0" showRowStripes="1" showColumnStripes="0"/>
</table>
</file>

<file path=xl/tables/table1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6" xr:uid="{00000000-000C-0000-FFFF-FFFFBB000000}" name="Table257519913140106110151155170178204277" displayName="Table257519913140106110151155170178204277" ref="A7:E44" totalsRowShown="0" headerRowDxfId="519" headerRowBorderDxfId="518" tableBorderDxfId="517" totalsRowBorderDxfId="516">
  <autoFilter ref="A7:E44" xr:uid="{00000000-0009-0000-0100-000014010000}"/>
  <tableColumns count="5">
    <tableColumn id="1" xr3:uid="{00000000-0010-0000-BB00-000001000000}" name="Step" dataDxfId="515"/>
    <tableColumn id="2" xr3:uid="{00000000-0010-0000-BB00-000002000000}" name="Action" dataDxfId="514"/>
    <tableColumn id="3" xr3:uid="{00000000-0010-0000-BB00-000003000000}" name="Message | Input" dataDxfId="513"/>
    <tableColumn id="5" xr3:uid="{00000000-0010-0000-BB00-000005000000}" name="PEG" dataDxfId="512"/>
    <tableColumn id="4" xr3:uid="{00000000-0010-0000-BB00-000004000000}" name="Notes &amp; Data Settings" dataDxfId="511"/>
  </tableColumns>
  <tableStyleInfo name="TableStyleLight1" showFirstColumn="0" showLastColumn="0" showRowStripes="1" showColumnStripes="0"/>
</table>
</file>

<file path=xl/tables/table1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8" xr:uid="{00000000-000C-0000-FFFF-FFFFBC000000}" name="Table257519913140106110151155170178204279" displayName="Table257519913140106110151155170178204279" ref="A7:E44" totalsRowShown="0" headerRowDxfId="498" headerRowBorderDxfId="497" tableBorderDxfId="496" totalsRowBorderDxfId="495">
  <autoFilter ref="A7:E44" xr:uid="{00000000-0009-0000-0100-000016010000}"/>
  <tableColumns count="5">
    <tableColumn id="1" xr3:uid="{00000000-0010-0000-BC00-000001000000}" name="Step" dataDxfId="494"/>
    <tableColumn id="2" xr3:uid="{00000000-0010-0000-BC00-000002000000}" name="Action" dataDxfId="493"/>
    <tableColumn id="3" xr3:uid="{00000000-0010-0000-BC00-000003000000}" name="Message | Input" dataDxfId="492"/>
    <tableColumn id="5" xr3:uid="{00000000-0010-0000-BC00-000005000000}" name="PEG" dataDxfId="491"/>
    <tableColumn id="4" xr3:uid="{00000000-0010-0000-BC00-000004000000}" name="Notes &amp; Data Settings" dataDxfId="490"/>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2000000}" name="Table25755252691013" displayName="Table25755252691013" ref="A7:E23" totalsRowShown="0" headerRowDxfId="6254" headerRowBorderDxfId="6253" tableBorderDxfId="6252" totalsRowBorderDxfId="6251">
  <autoFilter ref="A7:E23" xr:uid="{00000000-0009-0000-0100-00000C000000}"/>
  <tableColumns count="5">
    <tableColumn id="1" xr3:uid="{00000000-0010-0000-1200-000001000000}" name="Step" dataDxfId="6250"/>
    <tableColumn id="2" xr3:uid="{00000000-0010-0000-1200-000002000000}" name="Action" dataDxfId="6249"/>
    <tableColumn id="3" xr3:uid="{00000000-0010-0000-1200-000003000000}" name="Message | Input" dataDxfId="6248"/>
    <tableColumn id="5" xr3:uid="{00000000-0010-0000-1200-000005000000}" name="PEG" dataDxfId="6247"/>
    <tableColumn id="4" xr3:uid="{00000000-0010-0000-1200-000004000000}" name="Notes &amp; Data Settings" dataDxfId="6246"/>
  </tableColumns>
  <tableStyleInfo name="TableStyleLight1" showFirstColumn="0" showLastColumn="0" showRowStripes="1" showColumnStripes="0"/>
</table>
</file>

<file path=xl/tables/table1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0" xr:uid="{00000000-000C-0000-FFFF-FFFFBD000000}" name="Table257519913140106110151155170178204281" displayName="Table257519913140106110151155170178204281" ref="A7:E44" totalsRowShown="0" headerRowDxfId="477" headerRowBorderDxfId="476" tableBorderDxfId="475" totalsRowBorderDxfId="474">
  <autoFilter ref="A7:E44" xr:uid="{00000000-0009-0000-0100-000018010000}"/>
  <tableColumns count="5">
    <tableColumn id="1" xr3:uid="{00000000-0010-0000-BD00-000001000000}" name="Step" dataDxfId="473"/>
    <tableColumn id="2" xr3:uid="{00000000-0010-0000-BD00-000002000000}" name="Action" dataDxfId="472"/>
    <tableColumn id="3" xr3:uid="{00000000-0010-0000-BD00-000003000000}" name="Message | Input" dataDxfId="471"/>
    <tableColumn id="5" xr3:uid="{00000000-0010-0000-BD00-000005000000}" name="PEG" dataDxfId="470"/>
    <tableColumn id="4" xr3:uid="{00000000-0010-0000-BD00-000004000000}" name="Notes &amp; Data Settings" dataDxfId="469"/>
  </tableColumns>
  <tableStyleInfo name="TableStyleLight1" showFirstColumn="0" showLastColumn="0" showRowStripes="1" showColumnStripes="0"/>
</table>
</file>

<file path=xl/tables/table1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2" xr:uid="{00000000-000C-0000-FFFF-FFFFBE000000}" name="Table257519913140106110151155170178204283" displayName="Table257519913140106110151155170178204283" ref="A7:E44" totalsRowShown="0" headerRowDxfId="456" headerRowBorderDxfId="455" tableBorderDxfId="454" totalsRowBorderDxfId="453">
  <autoFilter ref="A7:E44" xr:uid="{00000000-0009-0000-0100-00001A010000}"/>
  <tableColumns count="5">
    <tableColumn id="1" xr3:uid="{00000000-0010-0000-BE00-000001000000}" name="Step" dataDxfId="452"/>
    <tableColumn id="2" xr3:uid="{00000000-0010-0000-BE00-000002000000}" name="Action" dataDxfId="451"/>
    <tableColumn id="3" xr3:uid="{00000000-0010-0000-BE00-000003000000}" name="Message | Input" dataDxfId="450"/>
    <tableColumn id="5" xr3:uid="{00000000-0010-0000-BE00-000005000000}" name="PEG" dataDxfId="449"/>
    <tableColumn id="4" xr3:uid="{00000000-0010-0000-BE00-000004000000}" name="Notes &amp; Data Settings" dataDxfId="448"/>
  </tableColumns>
  <tableStyleInfo name="TableStyleLight1" showFirstColumn="0" showLastColumn="0" showRowStripes="1" showColumnStripes="0"/>
</table>
</file>

<file path=xl/tables/table1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4" xr:uid="{00000000-000C-0000-FFFF-FFFFBF000000}" name="Table257519913140106110151155170178204285" displayName="Table257519913140106110151155170178204285" ref="A7:E44" totalsRowShown="0" headerRowDxfId="435" headerRowBorderDxfId="434" tableBorderDxfId="433" totalsRowBorderDxfId="432">
  <autoFilter ref="A7:E44" xr:uid="{00000000-0009-0000-0100-00001C010000}"/>
  <tableColumns count="5">
    <tableColumn id="1" xr3:uid="{00000000-0010-0000-BF00-000001000000}" name="Step" dataDxfId="431"/>
    <tableColumn id="2" xr3:uid="{00000000-0010-0000-BF00-000002000000}" name="Action" dataDxfId="430"/>
    <tableColumn id="3" xr3:uid="{00000000-0010-0000-BF00-000003000000}" name="Message | Input" dataDxfId="429"/>
    <tableColumn id="5" xr3:uid="{00000000-0010-0000-BF00-000005000000}" name="PEG" dataDxfId="428"/>
    <tableColumn id="4" xr3:uid="{00000000-0010-0000-BF00-000004000000}" name="Notes &amp; Data Settings" dataDxfId="427"/>
  </tableColumns>
  <tableStyleInfo name="TableStyleLight1" showFirstColumn="0" showLastColumn="0" showRowStripes="1" showColumnStripes="0"/>
</table>
</file>

<file path=xl/tables/table1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6" xr:uid="{00000000-000C-0000-FFFF-FFFFC0000000}" name="Table257519913140106110151155170178204287" displayName="Table257519913140106110151155170178204287" ref="A7:E44" totalsRowShown="0" headerRowDxfId="414" headerRowBorderDxfId="413" tableBorderDxfId="412" totalsRowBorderDxfId="411">
  <autoFilter ref="A7:E44" xr:uid="{00000000-0009-0000-0100-00001E010000}"/>
  <tableColumns count="5">
    <tableColumn id="1" xr3:uid="{00000000-0010-0000-C000-000001000000}" name="Step" dataDxfId="410"/>
    <tableColumn id="2" xr3:uid="{00000000-0010-0000-C000-000002000000}" name="Action" dataDxfId="409"/>
    <tableColumn id="3" xr3:uid="{00000000-0010-0000-C000-000003000000}" name="Message | Input" dataDxfId="408"/>
    <tableColumn id="5" xr3:uid="{00000000-0010-0000-C000-000005000000}" name="PEG" dataDxfId="407"/>
    <tableColumn id="4" xr3:uid="{00000000-0010-0000-C000-000004000000}" name="Notes &amp; Data Settings" dataDxfId="406"/>
  </tableColumns>
  <tableStyleInfo name="TableStyleLight1" showFirstColumn="0" showLastColumn="0" showRowStripes="1" showColumnStripes="0"/>
</table>
</file>

<file path=xl/tables/table1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8" xr:uid="{00000000-000C-0000-FFFF-FFFFC1000000}" name="Table257519913140106110151155170178204289" displayName="Table257519913140106110151155170178204289" ref="A7:E44" totalsRowShown="0" headerRowDxfId="393" headerRowBorderDxfId="392" tableBorderDxfId="391" totalsRowBorderDxfId="390">
  <autoFilter ref="A7:E44" xr:uid="{00000000-0009-0000-0100-000020010000}"/>
  <tableColumns count="5">
    <tableColumn id="1" xr3:uid="{00000000-0010-0000-C100-000001000000}" name="Step" dataDxfId="389"/>
    <tableColumn id="2" xr3:uid="{00000000-0010-0000-C100-000002000000}" name="Action" dataDxfId="388"/>
    <tableColumn id="3" xr3:uid="{00000000-0010-0000-C100-000003000000}" name="Message | Input" dataDxfId="387"/>
    <tableColumn id="5" xr3:uid="{00000000-0010-0000-C100-000005000000}" name="PEG" dataDxfId="386"/>
    <tableColumn id="4" xr3:uid="{00000000-0010-0000-C100-000004000000}" name="Notes &amp; Data Settings" dataDxfId="385"/>
  </tableColumns>
  <tableStyleInfo name="TableStyleLight1" showFirstColumn="0" showLastColumn="0" showRowStripes="1" showColumnStripes="0"/>
</table>
</file>

<file path=xl/tables/table1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0" xr:uid="{00000000-000C-0000-FFFF-FFFFC2000000}" name="Table257519913140106110151155170178204291" displayName="Table257519913140106110151155170178204291" ref="A7:E44" totalsRowShown="0" headerRowDxfId="372" headerRowBorderDxfId="371" tableBorderDxfId="370" totalsRowBorderDxfId="369">
  <autoFilter ref="A7:E44" xr:uid="{00000000-0009-0000-0100-000022010000}"/>
  <tableColumns count="5">
    <tableColumn id="1" xr3:uid="{00000000-0010-0000-C200-000001000000}" name="Step" dataDxfId="368"/>
    <tableColumn id="2" xr3:uid="{00000000-0010-0000-C200-000002000000}" name="Action" dataDxfId="367"/>
    <tableColumn id="3" xr3:uid="{00000000-0010-0000-C200-000003000000}" name="Message | Input" dataDxfId="366"/>
    <tableColumn id="5" xr3:uid="{00000000-0010-0000-C200-000005000000}" name="PEG" dataDxfId="365"/>
    <tableColumn id="4" xr3:uid="{00000000-0010-0000-C200-000004000000}" name="Notes &amp; Data Settings" dataDxfId="364"/>
  </tableColumns>
  <tableStyleInfo name="TableStyleLight1" showFirstColumn="0" showLastColumn="0" showRowStripes="1" showColumnStripes="0"/>
</table>
</file>

<file path=xl/tables/table1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2" xr:uid="{00000000-000C-0000-FFFF-FFFFC3000000}" name="Table257519913140106110151155170178204293" displayName="Table257519913140106110151155170178204293" ref="A7:E44" totalsRowShown="0" headerRowDxfId="351" headerRowBorderDxfId="350" tableBorderDxfId="349" totalsRowBorderDxfId="348">
  <autoFilter ref="A7:E44" xr:uid="{00000000-0009-0000-0100-000024010000}"/>
  <tableColumns count="5">
    <tableColumn id="1" xr3:uid="{00000000-0010-0000-C300-000001000000}" name="Step" dataDxfId="347"/>
    <tableColumn id="2" xr3:uid="{00000000-0010-0000-C300-000002000000}" name="Action" dataDxfId="346"/>
    <tableColumn id="3" xr3:uid="{00000000-0010-0000-C300-000003000000}" name="Message | Input" dataDxfId="345"/>
    <tableColumn id="5" xr3:uid="{00000000-0010-0000-C300-000005000000}" name="PEG" dataDxfId="344"/>
    <tableColumn id="4" xr3:uid="{00000000-0010-0000-C300-000004000000}" name="Notes &amp; Data Settings" dataDxfId="343"/>
  </tableColumns>
  <tableStyleInfo name="TableStyleLight1" showFirstColumn="0" showLastColumn="0" showRowStripes="1" showColumnStripes="0"/>
</table>
</file>

<file path=xl/tables/table1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4" xr:uid="{00000000-000C-0000-FFFF-FFFFC4000000}" name="Table257519913140106110151155170178204295" displayName="Table257519913140106110151155170178204295" ref="A7:E44" totalsRowShown="0" headerRowDxfId="330" headerRowBorderDxfId="329" tableBorderDxfId="328" totalsRowBorderDxfId="327">
  <autoFilter ref="A7:E44" xr:uid="{00000000-0009-0000-0100-000026010000}"/>
  <tableColumns count="5">
    <tableColumn id="1" xr3:uid="{00000000-0010-0000-C400-000001000000}" name="Step" dataDxfId="326"/>
    <tableColumn id="2" xr3:uid="{00000000-0010-0000-C400-000002000000}" name="Action" dataDxfId="325"/>
    <tableColumn id="3" xr3:uid="{00000000-0010-0000-C400-000003000000}" name="Message | Input" dataDxfId="324"/>
    <tableColumn id="5" xr3:uid="{00000000-0010-0000-C400-000005000000}" name="PEG" dataDxfId="323"/>
    <tableColumn id="4" xr3:uid="{00000000-0010-0000-C400-000004000000}" name="Notes &amp; Data Settings" dataDxfId="322"/>
  </tableColumns>
  <tableStyleInfo name="TableStyleLight1" showFirstColumn="0" showLastColumn="0" showRowStripes="1" showColumnStripes="0"/>
</table>
</file>

<file path=xl/tables/table1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6" xr:uid="{00000000-000C-0000-FFFF-FFFFC5000000}" name="Table257519913140106110151155170178204297" displayName="Table257519913140106110151155170178204297" ref="A7:E44" totalsRowShown="0" headerRowDxfId="309" headerRowBorderDxfId="308" tableBorderDxfId="307" totalsRowBorderDxfId="306">
  <autoFilter ref="A7:E44" xr:uid="{00000000-0009-0000-0100-000028010000}"/>
  <tableColumns count="5">
    <tableColumn id="1" xr3:uid="{00000000-0010-0000-C500-000001000000}" name="Step" dataDxfId="305"/>
    <tableColumn id="2" xr3:uid="{00000000-0010-0000-C500-000002000000}" name="Action" dataDxfId="304"/>
    <tableColumn id="3" xr3:uid="{00000000-0010-0000-C500-000003000000}" name="Message | Input" dataDxfId="303"/>
    <tableColumn id="5" xr3:uid="{00000000-0010-0000-C500-000005000000}" name="PEG" dataDxfId="302"/>
    <tableColumn id="4" xr3:uid="{00000000-0010-0000-C500-000004000000}" name="Notes &amp; Data Settings" dataDxfId="301"/>
  </tableColumns>
  <tableStyleInfo name="TableStyleLight1" showFirstColumn="0" showLastColumn="0" showRowStripes="1" showColumnStripes="0"/>
</table>
</file>

<file path=xl/tables/table1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8" xr:uid="{00000000-000C-0000-FFFF-FFFFC6000000}" name="Table257519913140106110151155170178204299" displayName="Table257519913140106110151155170178204299" ref="A7:E44" totalsRowShown="0" headerRowDxfId="288" headerRowBorderDxfId="287" tableBorderDxfId="286" totalsRowBorderDxfId="285">
  <autoFilter ref="A7:E44" xr:uid="{00000000-0009-0000-0100-00002A010000}"/>
  <tableColumns count="5">
    <tableColumn id="1" xr3:uid="{00000000-0010-0000-C600-000001000000}" name="Step" dataDxfId="284"/>
    <tableColumn id="2" xr3:uid="{00000000-0010-0000-C600-000002000000}" name="Action" dataDxfId="283"/>
    <tableColumn id="3" xr3:uid="{00000000-0010-0000-C600-000003000000}" name="Message | Input" dataDxfId="282"/>
    <tableColumn id="5" xr3:uid="{00000000-0010-0000-C600-000005000000}" name="PEG" dataDxfId="281"/>
    <tableColumn id="4" xr3:uid="{00000000-0010-0000-C600-000004000000}" name="Notes &amp; Data Settings" dataDxfId="28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53" displayName="Table53" ref="A99:F133" headerRowCount="0" totalsRowShown="0" headerRowDxfId="6708" tableBorderDxfId="6707" totalsRowBorderDxfId="6706">
  <tableColumns count="6">
    <tableColumn id="1" xr3:uid="{00000000-0010-0000-0100-000001000000}" name="Column1" dataDxfId="6705" dataCellStyle="Hyperlink"/>
    <tableColumn id="2" xr3:uid="{00000000-0010-0000-0100-000002000000}" name="Column2" dataDxfId="6704"/>
    <tableColumn id="3" xr3:uid="{00000000-0010-0000-0100-000003000000}" name="Column3" dataDxfId="6703"/>
    <tableColumn id="4" xr3:uid="{00000000-0010-0000-0100-000004000000}" name="Column4" dataDxfId="6702"/>
    <tableColumn id="5" xr3:uid="{00000000-0010-0000-0100-000005000000}" name="Column5" dataDxfId="6701"/>
    <tableColumn id="6" xr3:uid="{00000000-0010-0000-0100-000006000000}" name="Column6" dataDxfId="6700"/>
  </tableColumns>
  <tableStyleInfo name="TableStyleLight2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13000000}" name="Table2575525269101343" displayName="Table2575525269101343" ref="A7:E25" totalsRowShown="0" headerRowDxfId="6228" headerRowBorderDxfId="6227" tableBorderDxfId="6226" totalsRowBorderDxfId="6225">
  <autoFilter ref="A7:E25" xr:uid="{00000000-0009-0000-0100-00002A000000}"/>
  <tableColumns count="5">
    <tableColumn id="1" xr3:uid="{00000000-0010-0000-1300-000001000000}" name="Step" dataDxfId="6224"/>
    <tableColumn id="2" xr3:uid="{00000000-0010-0000-1300-000002000000}" name="Action" dataDxfId="6223"/>
    <tableColumn id="3" xr3:uid="{00000000-0010-0000-1300-000003000000}" name="Message | Input" dataDxfId="6222"/>
    <tableColumn id="5" xr3:uid="{00000000-0010-0000-1300-000005000000}" name="PEG" dataDxfId="6221"/>
    <tableColumn id="4" xr3:uid="{00000000-0010-0000-1300-000004000000}" name="Notes &amp; Data Settings" dataDxfId="6220"/>
  </tableColumns>
  <tableStyleInfo name="TableStyleLight1" showFirstColumn="0" showLastColumn="0" showRowStripes="1" showColumnStripes="0"/>
</table>
</file>

<file path=xl/tables/table2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0" xr:uid="{00000000-000C-0000-FFFF-FFFFC7000000}" name="Table257519913140106110151155170178204301" displayName="Table257519913140106110151155170178204301" ref="A7:E44" totalsRowShown="0" headerRowDxfId="267" headerRowBorderDxfId="266" tableBorderDxfId="265" totalsRowBorderDxfId="264">
  <autoFilter ref="A7:E44" xr:uid="{00000000-0009-0000-0100-00002C010000}"/>
  <tableColumns count="5">
    <tableColumn id="1" xr3:uid="{00000000-0010-0000-C700-000001000000}" name="Step" dataDxfId="263"/>
    <tableColumn id="2" xr3:uid="{00000000-0010-0000-C700-000002000000}" name="Action" dataDxfId="262"/>
    <tableColumn id="3" xr3:uid="{00000000-0010-0000-C700-000003000000}" name="Message | Input" dataDxfId="261"/>
    <tableColumn id="5" xr3:uid="{00000000-0010-0000-C700-000005000000}" name="PEG" dataDxfId="260"/>
    <tableColumn id="4" xr3:uid="{00000000-0010-0000-C700-000004000000}" name="Notes &amp; Data Settings" dataDxfId="259"/>
  </tableColumns>
  <tableStyleInfo name="TableStyleLight1" showFirstColumn="0" showLastColumn="0" showRowStripes="1" showColumnStripes="0"/>
</table>
</file>

<file path=xl/tables/table2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2" xr:uid="{00000000-000C-0000-FFFF-FFFFC8000000}" name="Table257519913140106110151155170178204303" displayName="Table257519913140106110151155170178204303" ref="A7:E44" totalsRowShown="0" headerRowDxfId="246" headerRowBorderDxfId="245" tableBorderDxfId="244" totalsRowBorderDxfId="243">
  <autoFilter ref="A7:E44" xr:uid="{00000000-0009-0000-0100-00002E010000}"/>
  <tableColumns count="5">
    <tableColumn id="1" xr3:uid="{00000000-0010-0000-C800-000001000000}" name="Step" dataDxfId="242"/>
    <tableColumn id="2" xr3:uid="{00000000-0010-0000-C800-000002000000}" name="Action" dataDxfId="241"/>
    <tableColumn id="3" xr3:uid="{00000000-0010-0000-C800-000003000000}" name="Message | Input" dataDxfId="240"/>
    <tableColumn id="5" xr3:uid="{00000000-0010-0000-C800-000005000000}" name="PEG" dataDxfId="239"/>
    <tableColumn id="4" xr3:uid="{00000000-0010-0000-C800-000004000000}" name="Notes &amp; Data Settings" dataDxfId="238"/>
  </tableColumns>
  <tableStyleInfo name="TableStyleLight1" showFirstColumn="0" showLastColumn="0" showRowStripes="1" showColumnStripes="0"/>
</table>
</file>

<file path=xl/tables/table2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5" xr:uid="{00000000-000C-0000-FFFF-FFFFC9000000}" name="Table257519913140106110151155170178204303306" displayName="Table257519913140106110151155170178204303306" ref="A7:E44" totalsRowShown="0" headerRowDxfId="207" headerRowBorderDxfId="206" tableBorderDxfId="205" totalsRowBorderDxfId="204">
  <autoFilter ref="A7:E44" xr:uid="{00000000-0009-0000-0100-000031010000}"/>
  <tableColumns count="5">
    <tableColumn id="1" xr3:uid="{00000000-0010-0000-C900-000001000000}" name="Step" dataDxfId="203"/>
    <tableColumn id="2" xr3:uid="{00000000-0010-0000-C900-000002000000}" name="Action" dataDxfId="202"/>
    <tableColumn id="3" xr3:uid="{00000000-0010-0000-C900-000003000000}" name="Message | Input" dataDxfId="201"/>
    <tableColumn id="5" xr3:uid="{00000000-0010-0000-C900-000005000000}" name="PEG" dataDxfId="200"/>
    <tableColumn id="4" xr3:uid="{00000000-0010-0000-C900-000004000000}" name="Notes &amp; Data Settings" dataDxfId="199"/>
  </tableColumns>
  <tableStyleInfo name="TableStyleLight1" showFirstColumn="0" showLastColumn="0" showRowStripes="1" showColumnStripes="0"/>
</table>
</file>

<file path=xl/tables/table2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7" xr:uid="{00000000-000C-0000-FFFF-FFFFCA000000}" name="Table257519913140106110151155170178204303308" displayName="Table257519913140106110151155170178204303308" ref="A7:E44" totalsRowShown="0" headerRowDxfId="168" headerRowBorderDxfId="167" tableBorderDxfId="166" totalsRowBorderDxfId="165">
  <autoFilter ref="A7:E44" xr:uid="{00000000-0009-0000-0100-000033010000}"/>
  <tableColumns count="5">
    <tableColumn id="1" xr3:uid="{00000000-0010-0000-CA00-000001000000}" name="Step" dataDxfId="164"/>
    <tableColumn id="2" xr3:uid="{00000000-0010-0000-CA00-000002000000}" name="Action" dataDxfId="163"/>
    <tableColumn id="3" xr3:uid="{00000000-0010-0000-CA00-000003000000}" name="Message | Input" dataDxfId="162"/>
    <tableColumn id="5" xr3:uid="{00000000-0010-0000-CA00-000005000000}" name="PEG" dataDxfId="161"/>
    <tableColumn id="4" xr3:uid="{00000000-0010-0000-CA00-000004000000}" name="Notes &amp; Data Settings" dataDxfId="160"/>
  </tableColumns>
  <tableStyleInfo name="TableStyleLight1" showFirstColumn="0" showLastColumn="0" showRowStripes="1" showColumnStripes="0"/>
</table>
</file>

<file path=xl/tables/table2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9" xr:uid="{00000000-000C-0000-FFFF-FFFFCB000000}" name="Table257519913140106110151155170178204303310" displayName="Table257519913140106110151155170178204303310" ref="A7:E44" totalsRowShown="0" headerRowDxfId="129" headerRowBorderDxfId="128" tableBorderDxfId="127" totalsRowBorderDxfId="126">
  <autoFilter ref="A7:E44" xr:uid="{00000000-0009-0000-0100-000035010000}"/>
  <tableColumns count="5">
    <tableColumn id="1" xr3:uid="{00000000-0010-0000-CB00-000001000000}" name="Step" dataDxfId="125"/>
    <tableColumn id="2" xr3:uid="{00000000-0010-0000-CB00-000002000000}" name="Action" dataDxfId="124"/>
    <tableColumn id="3" xr3:uid="{00000000-0010-0000-CB00-000003000000}" name="Message | Input" dataDxfId="123"/>
    <tableColumn id="5" xr3:uid="{00000000-0010-0000-CB00-000005000000}" name="PEG" dataDxfId="122"/>
    <tableColumn id="4" xr3:uid="{00000000-0010-0000-CB00-000004000000}" name="Notes &amp; Data Settings" dataDxfId="121"/>
  </tableColumns>
  <tableStyleInfo name="TableStyleLight1" showFirstColumn="0" showLastColumn="0" showRowStripes="1" showColumnStripes="0"/>
</table>
</file>

<file path=xl/tables/table2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1" xr:uid="{00000000-000C-0000-FFFF-FFFFCC000000}" name="Table257519913140106110151155170178204303312" displayName="Table257519913140106110151155170178204303312" ref="A7:E44" totalsRowShown="0" headerRowDxfId="90" headerRowBorderDxfId="89" tableBorderDxfId="88" totalsRowBorderDxfId="87">
  <autoFilter ref="A7:E44" xr:uid="{00000000-0009-0000-0100-000037010000}"/>
  <tableColumns count="5">
    <tableColumn id="1" xr3:uid="{00000000-0010-0000-CC00-000001000000}" name="Step" dataDxfId="86"/>
    <tableColumn id="2" xr3:uid="{00000000-0010-0000-CC00-000002000000}" name="Action" dataDxfId="85"/>
    <tableColumn id="3" xr3:uid="{00000000-0010-0000-CC00-000003000000}" name="Message | Input" dataDxfId="84"/>
    <tableColumn id="5" xr3:uid="{00000000-0010-0000-CC00-000005000000}" name="PEG" dataDxfId="83"/>
    <tableColumn id="4" xr3:uid="{00000000-0010-0000-CC00-000004000000}" name="Notes &amp; Data Settings" dataDxfId="82"/>
  </tableColumns>
  <tableStyleInfo name="TableStyleLight1" showFirstColumn="0" showLastColumn="0" showRowStripes="1" showColumnStripes="0"/>
</table>
</file>

<file path=xl/tables/table2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CD000000}" name="Table25751991314010611015115517017820430331228" displayName="Table25751991314010611015115517017820430331228" ref="A7:E44" totalsRowShown="0" headerRowDxfId="52" headerRowBorderDxfId="51" tableBorderDxfId="50" totalsRowBorderDxfId="49">
  <autoFilter ref="A7:E44" xr:uid="{00000000-0009-0000-0100-00001B000000}"/>
  <tableColumns count="5">
    <tableColumn id="1" xr3:uid="{00000000-0010-0000-CD00-000001000000}" name="Step" dataDxfId="48"/>
    <tableColumn id="2" xr3:uid="{00000000-0010-0000-CD00-000002000000}" name="Action" dataDxfId="47"/>
    <tableColumn id="3" xr3:uid="{00000000-0010-0000-CD00-000003000000}" name="Message | Input" dataDxfId="46"/>
    <tableColumn id="5" xr3:uid="{00000000-0010-0000-CD00-000005000000}" name="PEG" dataDxfId="45"/>
    <tableColumn id="4" xr3:uid="{00000000-0010-0000-CD00-000004000000}" name="Notes &amp; Data Settings" dataDxfId="44"/>
  </tableColumns>
  <tableStyleInfo name="TableStyleLight1" showFirstColumn="0" showLastColumn="0" showRowStripes="1" showColumnStripes="0"/>
</table>
</file>

<file path=xl/tables/table2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CE000000}" name="Table2575199131401061101511551701782043033122830" displayName="Table2575199131401061101511551701782043033122830" ref="A7:E44" totalsRowShown="0" headerRowDxfId="13" headerRowBorderDxfId="12" tableBorderDxfId="11" totalsRowBorderDxfId="10">
  <autoFilter ref="A7:E44" xr:uid="{00000000-0009-0000-0100-00001D000000}"/>
  <tableColumns count="5">
    <tableColumn id="1" xr3:uid="{00000000-0010-0000-CE00-000001000000}" name="Step" dataDxfId="9"/>
    <tableColumn id="2" xr3:uid="{00000000-0010-0000-CE00-000002000000}" name="Action" dataDxfId="8"/>
    <tableColumn id="3" xr3:uid="{00000000-0010-0000-CE00-000003000000}" name="Message | Input" dataDxfId="7"/>
    <tableColumn id="5" xr3:uid="{00000000-0010-0000-CE00-000005000000}" name="PEG" dataDxfId="6"/>
    <tableColumn id="4" xr3:uid="{00000000-0010-0000-CE00-000004000000}" name="Notes &amp; Data Settings" dataDxfId="5"/>
  </tableColumns>
  <tableStyleInfo name="TableStyleLight1" showFirstColumn="0" showLastColumn="0" showRowStripes="1" showColumnStripes="0"/>
</table>
</file>

<file path=xl/tables/table2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CF000000}" name="Table1016" displayName="Table1016" ref="A1:D381" totalsRowShown="0" headerRowDxfId="4">
  <autoFilter ref="A1:D381" xr:uid="{00000000-0009-0000-0100-00000F000000}"/>
  <sortState xmlns:xlrd2="http://schemas.microsoft.com/office/spreadsheetml/2017/richdata2" ref="A2:D310">
    <sortCondition ref="A1:A310"/>
  </sortState>
  <tableColumns count="4">
    <tableColumn id="1" xr3:uid="{00000000-0010-0000-CF00-000001000000}" name="PEG #" dataDxfId="3"/>
    <tableColumn id="2" xr3:uid="{00000000-0010-0000-CF00-000002000000}" name="PROMPT PHRASE" dataDxfId="2"/>
    <tableColumn id="4" xr3:uid="{00000000-0010-0000-CF00-000004000000}" name="TYPE" dataDxfId="1"/>
    <tableColumn id="3" xr3:uid="{00000000-0010-0000-CF00-000003000000}" name="APPLICATION " dataDxfId="0"/>
  </tableColumns>
  <tableStyleInfo name="TableStyleMedium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14000000}" name="Table257552526910134344" displayName="Table257552526910134344" ref="A7:E31" totalsRowShown="0" headerRowDxfId="6201" headerRowBorderDxfId="6200" tableBorderDxfId="6199" totalsRowBorderDxfId="6198">
  <autoFilter ref="A7:E31" xr:uid="{00000000-0009-0000-0100-00002B000000}"/>
  <tableColumns count="5">
    <tableColumn id="1" xr3:uid="{00000000-0010-0000-1400-000001000000}" name="Step" dataDxfId="6197"/>
    <tableColumn id="2" xr3:uid="{00000000-0010-0000-1400-000002000000}" name="Action" dataDxfId="6196"/>
    <tableColumn id="3" xr3:uid="{00000000-0010-0000-1400-000003000000}" name="Message | Input" dataDxfId="6195"/>
    <tableColumn id="5" xr3:uid="{00000000-0010-0000-1400-000005000000}" name="PEG" dataDxfId="6194"/>
    <tableColumn id="4" xr3:uid="{00000000-0010-0000-1400-000004000000}" name="Notes &amp; Data Settings" dataDxfId="6193"/>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15000000}" name="Table25755252691013434446" displayName="Table25755252691013434446" ref="A7:E19" totalsRowShown="0" headerRowDxfId="6176" headerRowBorderDxfId="6175" tableBorderDxfId="6174" totalsRowBorderDxfId="6173">
  <autoFilter ref="A7:E19" xr:uid="{00000000-0009-0000-0100-00002D000000}"/>
  <tableColumns count="5">
    <tableColumn id="1" xr3:uid="{00000000-0010-0000-1500-000001000000}" name="Step" dataDxfId="6172"/>
    <tableColumn id="2" xr3:uid="{00000000-0010-0000-1500-000002000000}" name="Action" dataDxfId="6171"/>
    <tableColumn id="3" xr3:uid="{00000000-0010-0000-1500-000003000000}" name="Message | Input" dataDxfId="6170"/>
    <tableColumn id="5" xr3:uid="{00000000-0010-0000-1500-000005000000}" name="PEG" dataDxfId="6169"/>
    <tableColumn id="4" xr3:uid="{00000000-0010-0000-1500-000004000000}" name="Notes &amp; Data Settings" dataDxfId="6168"/>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16000000}" name="Table2575525269101343444647" displayName="Table2575525269101343444647" ref="A7:E19" totalsRowShown="0" headerRowDxfId="6148" headerRowBorderDxfId="6147" tableBorderDxfId="6146" totalsRowBorderDxfId="6145">
  <autoFilter ref="A7:E19" xr:uid="{00000000-0009-0000-0100-00002E000000}"/>
  <tableColumns count="5">
    <tableColumn id="1" xr3:uid="{00000000-0010-0000-1600-000001000000}" name="Step" dataDxfId="6144"/>
    <tableColumn id="2" xr3:uid="{00000000-0010-0000-1600-000002000000}" name="Action" dataDxfId="6143"/>
    <tableColumn id="3" xr3:uid="{00000000-0010-0000-1600-000003000000}" name="Message | Input" dataDxfId="6142"/>
    <tableColumn id="5" xr3:uid="{00000000-0010-0000-1600-000005000000}" name="PEG" dataDxfId="6141"/>
    <tableColumn id="4" xr3:uid="{00000000-0010-0000-1600-000004000000}" name="Notes &amp; Data Settings" dataDxfId="6140"/>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17000000}" name="Table257552526910134344464748" displayName="Table257552526910134344464748" ref="A7:E26" totalsRowShown="0" headerRowDxfId="6121" headerRowBorderDxfId="6120" tableBorderDxfId="6119" totalsRowBorderDxfId="6118">
  <autoFilter ref="A7:E26" xr:uid="{00000000-0009-0000-0100-00002F000000}"/>
  <tableColumns count="5">
    <tableColumn id="1" xr3:uid="{00000000-0010-0000-1700-000001000000}" name="Step" dataDxfId="6117"/>
    <tableColumn id="2" xr3:uid="{00000000-0010-0000-1700-000002000000}" name="Action" dataDxfId="6116"/>
    <tableColumn id="3" xr3:uid="{00000000-0010-0000-1700-000003000000}" name="Message | Input" dataDxfId="6115"/>
    <tableColumn id="5" xr3:uid="{00000000-0010-0000-1700-000005000000}" name="PEG" dataDxfId="6114"/>
    <tableColumn id="4" xr3:uid="{00000000-0010-0000-1700-000004000000}" name="Notes &amp; Data Settings" dataDxfId="6113"/>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18000000}" name="Table25755252691013434446474849" displayName="Table25755252691013434446474849" ref="A7:E21" totalsRowShown="0" headerRowDxfId="6082" headerRowBorderDxfId="6081" tableBorderDxfId="6080" totalsRowBorderDxfId="6079">
  <autoFilter ref="A7:E21" xr:uid="{00000000-0009-0000-0100-000030000000}"/>
  <tableColumns count="5">
    <tableColumn id="1" xr3:uid="{00000000-0010-0000-1800-000001000000}" name="Step" dataDxfId="6078"/>
    <tableColumn id="2" xr3:uid="{00000000-0010-0000-1800-000002000000}" name="Action" dataDxfId="6077"/>
    <tableColumn id="3" xr3:uid="{00000000-0010-0000-1800-000003000000}" name="Message | Input" dataDxfId="6076"/>
    <tableColumn id="5" xr3:uid="{00000000-0010-0000-1800-000005000000}" name="PEG" dataDxfId="6075"/>
    <tableColumn id="4" xr3:uid="{00000000-0010-0000-1800-000004000000}" name="Notes &amp; Data Settings" dataDxfId="6074"/>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19000000}" name="Table2575525269101343444647484956" displayName="Table2575525269101343444647484956" ref="A7:E17" totalsRowShown="0" headerRowDxfId="6052" headerRowBorderDxfId="6051" tableBorderDxfId="6050" totalsRowBorderDxfId="6049">
  <autoFilter ref="A7:E17" xr:uid="{00000000-0009-0000-0100-000037000000}"/>
  <tableColumns count="5">
    <tableColumn id="1" xr3:uid="{00000000-0010-0000-1900-000001000000}" name="Step" dataDxfId="6048"/>
    <tableColumn id="2" xr3:uid="{00000000-0010-0000-1900-000002000000}" name="Action" dataDxfId="6047"/>
    <tableColumn id="3" xr3:uid="{00000000-0010-0000-1900-000003000000}" name="Message | Input" dataDxfId="6046"/>
    <tableColumn id="5" xr3:uid="{00000000-0010-0000-1900-000005000000}" name="PEG" dataDxfId="6045"/>
    <tableColumn id="4" xr3:uid="{00000000-0010-0000-1900-000004000000}" name="Notes &amp; Data Settings" dataDxfId="6044"/>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1A000000}" name="Table257552526910134344464748495657" displayName="Table257552526910134344464748495657" ref="A7:E21" totalsRowShown="0" headerRowDxfId="6021" headerRowBorderDxfId="6020" tableBorderDxfId="6019" totalsRowBorderDxfId="6018">
  <autoFilter ref="A7:E21" xr:uid="{00000000-0009-0000-0100-000038000000}"/>
  <tableColumns count="5">
    <tableColumn id="1" xr3:uid="{00000000-0010-0000-1A00-000001000000}" name="Step" dataDxfId="6017"/>
    <tableColumn id="2" xr3:uid="{00000000-0010-0000-1A00-000002000000}" name="Action" dataDxfId="6016"/>
    <tableColumn id="3" xr3:uid="{00000000-0010-0000-1A00-000003000000}" name="Message | Input" dataDxfId="6015"/>
    <tableColumn id="5" xr3:uid="{00000000-0010-0000-1A00-000005000000}" name="PEG" dataDxfId="6014"/>
    <tableColumn id="4" xr3:uid="{00000000-0010-0000-1A00-000004000000}" name="Notes &amp; Data Settings" dataDxfId="6013"/>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1B000000}" name="Table25755252691013434446474849565758" displayName="Table25755252691013434446474849565758" ref="A7:E21" totalsRowShown="0" headerRowDxfId="5990" headerRowBorderDxfId="5989" tableBorderDxfId="5988" totalsRowBorderDxfId="5987">
  <autoFilter ref="A7:E21" xr:uid="{00000000-0009-0000-0100-000039000000}"/>
  <tableColumns count="5">
    <tableColumn id="1" xr3:uid="{00000000-0010-0000-1B00-000001000000}" name="Step" dataDxfId="5986"/>
    <tableColumn id="2" xr3:uid="{00000000-0010-0000-1B00-000002000000}" name="Action" dataDxfId="5985"/>
    <tableColumn id="3" xr3:uid="{00000000-0010-0000-1B00-000003000000}" name="Message | Input" dataDxfId="5984"/>
    <tableColumn id="5" xr3:uid="{00000000-0010-0000-1B00-000005000000}" name="PEG" dataDxfId="5983"/>
    <tableColumn id="4" xr3:uid="{00000000-0010-0000-1B00-000004000000}" name="Notes &amp; Data Settings" dataDxfId="5982"/>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1C000000}" name="Table2575525269101343444647484956575859" displayName="Table2575525269101343444647484956575859" ref="A7:E21" totalsRowShown="0" headerRowDxfId="5959" headerRowBorderDxfId="5958" tableBorderDxfId="5957" totalsRowBorderDxfId="5956">
  <autoFilter ref="A7:E21" xr:uid="{00000000-0009-0000-0100-00003A000000}"/>
  <tableColumns count="5">
    <tableColumn id="1" xr3:uid="{00000000-0010-0000-1C00-000001000000}" name="Step" dataDxfId="5955"/>
    <tableColumn id="2" xr3:uid="{00000000-0010-0000-1C00-000002000000}" name="Action" dataDxfId="5954"/>
    <tableColumn id="3" xr3:uid="{00000000-0010-0000-1C00-000003000000}" name="Message | Input" dataDxfId="5953"/>
    <tableColumn id="5" xr3:uid="{00000000-0010-0000-1C00-000005000000}" name="PEG" dataDxfId="5952"/>
    <tableColumn id="4" xr3:uid="{00000000-0010-0000-1C00-000004000000}" name="Notes &amp; Data Settings" dataDxfId="5951"/>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44" displayName="Table44" ref="A136:F154" headerRowCount="0" totalsRowShown="0" headerRowDxfId="6699" dataDxfId="6697" headerRowBorderDxfId="6698" tableBorderDxfId="6696" totalsRowBorderDxfId="6695">
  <tableColumns count="6">
    <tableColumn id="1" xr3:uid="{00000000-0010-0000-0200-000001000000}" name="Column1" headerRowDxfId="6694" dataDxfId="6693" headerRowCellStyle="Hyperlink" dataCellStyle="Hyperlink"/>
    <tableColumn id="2" xr3:uid="{00000000-0010-0000-0200-000002000000}" name="Column2" headerRowDxfId="6692" dataDxfId="6691"/>
    <tableColumn id="3" xr3:uid="{00000000-0010-0000-0200-000003000000}" name="Column3" headerRowDxfId="6690" dataDxfId="6689"/>
    <tableColumn id="4" xr3:uid="{00000000-0010-0000-0200-000004000000}" name="Column4" headerRowDxfId="6688" dataDxfId="6687"/>
    <tableColumn id="5" xr3:uid="{00000000-0010-0000-0200-000005000000}" name="Column5" headerRowDxfId="6686" dataDxfId="6685"/>
    <tableColumn id="6" xr3:uid="{00000000-0010-0000-0200-000006000000}" name="Column6" headerRowDxfId="6684" dataDxfId="6683"/>
  </tableColumns>
  <tableStyleInfo name="TableStyleLight5"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1D000000}" name="Table257552526911122021222360" displayName="Table257552526911122021222360" ref="A7:E23" totalsRowShown="0" headerRowDxfId="5925" headerRowBorderDxfId="5924" tableBorderDxfId="5923" totalsRowBorderDxfId="5922">
  <autoFilter ref="A7:E23" xr:uid="{00000000-0009-0000-0100-00003B000000}"/>
  <tableColumns count="5">
    <tableColumn id="1" xr3:uid="{00000000-0010-0000-1D00-000001000000}" name="Step" dataDxfId="5921"/>
    <tableColumn id="2" xr3:uid="{00000000-0010-0000-1D00-000002000000}" name="Action" dataDxfId="5920"/>
    <tableColumn id="3" xr3:uid="{00000000-0010-0000-1D00-000003000000}" name="Message | Input" dataDxfId="5919"/>
    <tableColumn id="5" xr3:uid="{00000000-0010-0000-1D00-000005000000}" name="PEG" dataDxfId="5918"/>
    <tableColumn id="4" xr3:uid="{00000000-0010-0000-1D00-000004000000}" name="Notes &amp; Data Settings" dataDxfId="5917"/>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0000000-000C-0000-FFFF-FFFF1E000000}" name="Table25755252691112202122236062" displayName="Table25755252691112202122236062" ref="A7:E22" totalsRowShown="0" headerRowDxfId="5887" headerRowBorderDxfId="5886" tableBorderDxfId="5885" totalsRowBorderDxfId="5884">
  <autoFilter ref="A7:E22" xr:uid="{00000000-0009-0000-0100-00003D000000}"/>
  <tableColumns count="5">
    <tableColumn id="1" xr3:uid="{00000000-0010-0000-1E00-000001000000}" name="Step" dataDxfId="5883"/>
    <tableColumn id="2" xr3:uid="{00000000-0010-0000-1E00-000002000000}" name="Action" dataDxfId="5882"/>
    <tableColumn id="3" xr3:uid="{00000000-0010-0000-1E00-000003000000}" name="Message | Input" dataDxfId="5881"/>
    <tableColumn id="5" xr3:uid="{00000000-0010-0000-1E00-000005000000}" name="PEG" dataDxfId="5880"/>
    <tableColumn id="4" xr3:uid="{00000000-0010-0000-1E00-000004000000}" name="Notes &amp; Data Settings" dataDxfId="5879"/>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00000000-000C-0000-FFFF-FFFF1F000000}" name="Table257552526910134344464748495657585963" displayName="Table257552526910134344464748495657585963" ref="A7:E21" totalsRowShown="0" headerRowDxfId="5852" headerRowBorderDxfId="5851" tableBorderDxfId="5850" totalsRowBorderDxfId="5849">
  <autoFilter ref="A7:E21" xr:uid="{00000000-0009-0000-0100-00003E000000}"/>
  <tableColumns count="5">
    <tableColumn id="1" xr3:uid="{00000000-0010-0000-1F00-000001000000}" name="Step" dataDxfId="5848"/>
    <tableColumn id="2" xr3:uid="{00000000-0010-0000-1F00-000002000000}" name="Action" dataDxfId="5847"/>
    <tableColumn id="3" xr3:uid="{00000000-0010-0000-1F00-000003000000}" name="Message | Input" dataDxfId="5846"/>
    <tableColumn id="5" xr3:uid="{00000000-0010-0000-1F00-000005000000}" name="PEG" dataDxfId="5845"/>
    <tableColumn id="4" xr3:uid="{00000000-0010-0000-1F00-000004000000}" name="Notes &amp; Data Settings" dataDxfId="5844"/>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00000000-000C-0000-FFFF-FFFF20000000}" name="Table25755252691013434446474849565758596364" displayName="Table25755252691013434446474849565758596364" ref="A7:E21" totalsRowShown="0" headerRowDxfId="5817" headerRowBorderDxfId="5816" tableBorderDxfId="5815" totalsRowBorderDxfId="5814">
  <autoFilter ref="A7:E21" xr:uid="{00000000-0009-0000-0100-00003F000000}"/>
  <tableColumns count="5">
    <tableColumn id="1" xr3:uid="{00000000-0010-0000-2000-000001000000}" name="Step" dataDxfId="5813"/>
    <tableColumn id="2" xr3:uid="{00000000-0010-0000-2000-000002000000}" name="Action" dataDxfId="5812"/>
    <tableColumn id="3" xr3:uid="{00000000-0010-0000-2000-000003000000}" name="Message | Input" dataDxfId="5811"/>
    <tableColumn id="5" xr3:uid="{00000000-0010-0000-2000-000005000000}" name="PEG" dataDxfId="5810"/>
    <tableColumn id="4" xr3:uid="{00000000-0010-0000-2000-000004000000}" name="Notes &amp; Data Settings" dataDxfId="5809"/>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00000000-000C-0000-FFFF-FFFF21000000}" name="Table2575525269101343444647484956575859636465" displayName="Table2575525269101343444647484956575859636465" ref="A7:E23" totalsRowShown="0" headerRowDxfId="5774" headerRowBorderDxfId="5773" tableBorderDxfId="5772" totalsRowBorderDxfId="5771">
  <autoFilter ref="A7:E23" xr:uid="{00000000-0009-0000-0100-000040000000}"/>
  <tableColumns count="5">
    <tableColumn id="1" xr3:uid="{00000000-0010-0000-2100-000001000000}" name="Step" dataDxfId="5770"/>
    <tableColumn id="2" xr3:uid="{00000000-0010-0000-2100-000002000000}" name="Action" dataDxfId="5769"/>
    <tableColumn id="3" xr3:uid="{00000000-0010-0000-2100-000003000000}" name="Message | Input" dataDxfId="5768"/>
    <tableColumn id="5" xr3:uid="{00000000-0010-0000-2100-000005000000}" name="PEG" dataDxfId="5767"/>
    <tableColumn id="4" xr3:uid="{00000000-0010-0000-2100-000004000000}" name="Notes &amp; Data Settings" dataDxfId="5766"/>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22000000}" name="Table257552526910134344464748495657585963646514" displayName="Table257552526910134344464748495657585963646514" ref="A7:E23" totalsRowShown="0" headerRowDxfId="5735" headerRowBorderDxfId="5734" tableBorderDxfId="5733" totalsRowBorderDxfId="5732">
  <autoFilter ref="A7:E23" xr:uid="{00000000-0009-0000-0100-00000D000000}"/>
  <tableColumns count="5">
    <tableColumn id="1" xr3:uid="{00000000-0010-0000-2200-000001000000}" name="Step" dataDxfId="5731"/>
    <tableColumn id="2" xr3:uid="{00000000-0010-0000-2200-000002000000}" name="Action" dataDxfId="5730"/>
    <tableColumn id="3" xr3:uid="{00000000-0010-0000-2200-000003000000}" name="Message | Input" dataDxfId="5729"/>
    <tableColumn id="5" xr3:uid="{00000000-0010-0000-2200-000005000000}" name="PEG" dataDxfId="5728"/>
    <tableColumn id="4" xr3:uid="{00000000-0010-0000-2200-000004000000}" name="Notes &amp; Data Settings" dataDxfId="5727"/>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23000000}" name="Table25755252691013434446474849565758596315" displayName="Table25755252691013434446474849565758596315" ref="A7:E25" totalsRowShown="0" headerRowDxfId="5697" headerRowBorderDxfId="5696" tableBorderDxfId="5695" totalsRowBorderDxfId="5694">
  <autoFilter ref="A7:E25" xr:uid="{00000000-0009-0000-0100-00000E000000}"/>
  <tableColumns count="5">
    <tableColumn id="1" xr3:uid="{00000000-0010-0000-2300-000001000000}" name="Step" dataDxfId="5693"/>
    <tableColumn id="2" xr3:uid="{00000000-0010-0000-2300-000002000000}" name="Action" dataDxfId="5692"/>
    <tableColumn id="3" xr3:uid="{00000000-0010-0000-2300-000003000000}" name="Message | Input" dataDxfId="5691"/>
    <tableColumn id="5" xr3:uid="{00000000-0010-0000-2300-000005000000}" name="PEG" dataDxfId="5690"/>
    <tableColumn id="4" xr3:uid="{00000000-0010-0000-2300-000004000000}" name="Notes &amp; Data Settings" dataDxfId="5689"/>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24000000}" name="Table2575525269101343444647484956575859631518" displayName="Table2575525269101343444647484956575859631518" ref="A7:E26" totalsRowShown="0" headerRowDxfId="5660" headerRowBorderDxfId="5659" tableBorderDxfId="5658" totalsRowBorderDxfId="5657">
  <autoFilter ref="A7:E26" xr:uid="{00000000-0009-0000-0100-000011000000}"/>
  <tableColumns count="5">
    <tableColumn id="1" xr3:uid="{00000000-0010-0000-2400-000001000000}" name="Step" dataDxfId="5656"/>
    <tableColumn id="2" xr3:uid="{00000000-0010-0000-2400-000002000000}" name="Action" dataDxfId="5655"/>
    <tableColumn id="3" xr3:uid="{00000000-0010-0000-2400-000003000000}" name="Message | Input" dataDxfId="5654"/>
    <tableColumn id="5" xr3:uid="{00000000-0010-0000-2400-000005000000}" name="PEG" dataDxfId="5653"/>
    <tableColumn id="4" xr3:uid="{00000000-0010-0000-2400-000004000000}" name="Notes &amp; Data Settings" dataDxfId="5652"/>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25000000}" name="Table257552526910134344464748495657585963151817" displayName="Table257552526910134344464748495657585963151817" ref="A7:E25" totalsRowShown="0" headerRowDxfId="5626" headerRowBorderDxfId="5625" tableBorderDxfId="5624" totalsRowBorderDxfId="5623">
  <autoFilter ref="A7:E25" xr:uid="{00000000-0009-0000-0100-000010000000}"/>
  <tableColumns count="5">
    <tableColumn id="1" xr3:uid="{00000000-0010-0000-2500-000001000000}" name="Step" dataDxfId="5622"/>
    <tableColumn id="2" xr3:uid="{00000000-0010-0000-2500-000002000000}" name="Action" dataDxfId="5621"/>
    <tableColumn id="3" xr3:uid="{00000000-0010-0000-2500-000003000000}" name="Message | Input" dataDxfId="5620"/>
    <tableColumn id="5" xr3:uid="{00000000-0010-0000-2500-000005000000}" name="PEG" dataDxfId="5619"/>
    <tableColumn id="4" xr3:uid="{00000000-0010-0000-2500-000004000000}" name="Notes &amp; Data Settings" dataDxfId="5618"/>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26000000}" name="Table25755252691013434446474849565758596315181719" displayName="Table25755252691013434446474849565758596315181719" ref="A7:E26" totalsRowShown="0" headerRowDxfId="5590" headerRowBorderDxfId="5589" tableBorderDxfId="5588" totalsRowBorderDxfId="5587">
  <autoFilter ref="A7:E26" xr:uid="{00000000-0009-0000-0100-000012000000}"/>
  <tableColumns count="5">
    <tableColumn id="1" xr3:uid="{00000000-0010-0000-2600-000001000000}" name="Step" dataDxfId="5586"/>
    <tableColumn id="2" xr3:uid="{00000000-0010-0000-2600-000002000000}" name="Action" dataDxfId="5585"/>
    <tableColumn id="3" xr3:uid="{00000000-0010-0000-2600-000003000000}" name="Message | Input" dataDxfId="5584"/>
    <tableColumn id="5" xr3:uid="{00000000-0010-0000-2600-000005000000}" name="PEG" dataDxfId="5583"/>
    <tableColumn id="4" xr3:uid="{00000000-0010-0000-2600-000004000000}" name="Notes &amp; Data Settings" dataDxfId="558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14" displayName="Table14" ref="A157:F173" headerRowCount="0" totalsRowShown="0" headerRowDxfId="6682" dataDxfId="6680" headerRowBorderDxfId="6681" tableBorderDxfId="6679" totalsRowBorderDxfId="6678">
  <tableColumns count="6">
    <tableColumn id="1" xr3:uid="{00000000-0010-0000-0300-000001000000}" name="1" headerRowDxfId="6677" dataDxfId="6676" headerRowCellStyle="Hyperlink" dataCellStyle="Hyperlink"/>
    <tableColumn id="2" xr3:uid="{00000000-0010-0000-0300-000002000000}" name="8000" headerRowDxfId="6675" dataDxfId="6674"/>
    <tableColumn id="3" xr3:uid="{00000000-0010-0000-0300-000003000000}" name="General DNIS Entry Point Greeting Test" headerRowDxfId="6673" dataDxfId="6672"/>
    <tableColumn id="6" xr3:uid="{00000000-0010-0000-0300-000006000000}" name="Column3" headerRowDxfId="6671" dataDxfId="6670"/>
    <tableColumn id="4" xr3:uid="{00000000-0010-0000-0300-000004000000}" name="Column1" headerRowDxfId="6669" dataDxfId="6668"/>
    <tableColumn id="5" xr3:uid="{00000000-0010-0000-0300-000005000000}" name="Column2" headerRowDxfId="6667" dataDxfId="6666"/>
  </tableColumns>
  <tableStyleInfo name="TableStyleMedium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27000000}" name="Table2575525269101343444647484956575859631518171922" displayName="Table2575525269101343444647484956575859631518171922" ref="A7:E25" totalsRowShown="0" headerRowDxfId="5554" headerRowBorderDxfId="5553" tableBorderDxfId="5552" totalsRowBorderDxfId="5551">
  <autoFilter ref="A7:E25" xr:uid="{00000000-0009-0000-0100-000015000000}"/>
  <tableColumns count="5">
    <tableColumn id="1" xr3:uid="{00000000-0010-0000-2700-000001000000}" name="Step" dataDxfId="5550"/>
    <tableColumn id="2" xr3:uid="{00000000-0010-0000-2700-000002000000}" name="Action" dataDxfId="5549"/>
    <tableColumn id="3" xr3:uid="{00000000-0010-0000-2700-000003000000}" name="Message | Input" dataDxfId="5548"/>
    <tableColumn id="5" xr3:uid="{00000000-0010-0000-2700-000005000000}" name="PEG" dataDxfId="5547"/>
    <tableColumn id="4" xr3:uid="{00000000-0010-0000-2700-000004000000}" name="Notes &amp; Data Settings" dataDxfId="5546"/>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8000000}" name="Table257552526910134344464748495657585963151817192245" displayName="Table257552526910134344464748495657585963151817192245" ref="A7:E26" totalsRowShown="0" headerRowDxfId="5519" headerRowBorderDxfId="5518" tableBorderDxfId="5517" totalsRowBorderDxfId="5516">
  <autoFilter ref="A7:E26" xr:uid="{00000000-0009-0000-0100-00002C000000}"/>
  <tableColumns count="5">
    <tableColumn id="1" xr3:uid="{00000000-0010-0000-2800-000001000000}" name="Step" dataDxfId="5515"/>
    <tableColumn id="2" xr3:uid="{00000000-0010-0000-2800-000002000000}" name="Action" dataDxfId="5514"/>
    <tableColumn id="3" xr3:uid="{00000000-0010-0000-2800-000003000000}" name="Message | Input" dataDxfId="5513"/>
    <tableColumn id="5" xr3:uid="{00000000-0010-0000-2800-000005000000}" name="PEG" dataDxfId="5512"/>
    <tableColumn id="4" xr3:uid="{00000000-0010-0000-2800-000004000000}" name="Notes &amp; Data Settings" dataDxfId="5511"/>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0000000-000C-0000-FFFF-FFFF29000000}" name="Table25755252691013434446474849565758596315181719224566" displayName="Table25755252691013434446474849565758596315181719224566" ref="A7:E25" totalsRowShown="0" headerRowDxfId="5483" headerRowBorderDxfId="5482" tableBorderDxfId="5481" totalsRowBorderDxfId="5480">
  <autoFilter ref="A7:E25" xr:uid="{00000000-0009-0000-0100-000041000000}"/>
  <tableColumns count="5">
    <tableColumn id="1" xr3:uid="{00000000-0010-0000-2900-000001000000}" name="Step" dataDxfId="5479"/>
    <tableColumn id="2" xr3:uid="{00000000-0010-0000-2900-000002000000}" name="Action" dataDxfId="5478"/>
    <tableColumn id="3" xr3:uid="{00000000-0010-0000-2900-000003000000}" name="Message | Input" dataDxfId="5477"/>
    <tableColumn id="5" xr3:uid="{00000000-0010-0000-2900-000005000000}" name="PEG" dataDxfId="5476"/>
    <tableColumn id="4" xr3:uid="{00000000-0010-0000-2900-000004000000}" name="Notes &amp; Data Settings" dataDxfId="5475"/>
  </tableColumns>
  <tableStyleInfo name="TableStyleLight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00000000-000C-0000-FFFF-FFFF2A000000}" name="Table2575525269101343444647484956575859631518171922456667" displayName="Table2575525269101343444647484956575859631518171922456667" ref="A7:E26" totalsRowShown="0" headerRowDxfId="5445" headerRowBorderDxfId="5444" tableBorderDxfId="5443" totalsRowBorderDxfId="5442">
  <autoFilter ref="A7:E26" xr:uid="{00000000-0009-0000-0100-000042000000}"/>
  <tableColumns count="5">
    <tableColumn id="1" xr3:uid="{00000000-0010-0000-2A00-000001000000}" name="Step" dataDxfId="5441"/>
    <tableColumn id="2" xr3:uid="{00000000-0010-0000-2A00-000002000000}" name="Action" dataDxfId="5440"/>
    <tableColumn id="3" xr3:uid="{00000000-0010-0000-2A00-000003000000}" name="Message | Input" dataDxfId="5439"/>
    <tableColumn id="5" xr3:uid="{00000000-0010-0000-2A00-000005000000}" name="PEG" dataDxfId="5438"/>
    <tableColumn id="4" xr3:uid="{00000000-0010-0000-2A00-000004000000}" name="Notes &amp; Data Settings" dataDxfId="5437"/>
  </tableColumns>
  <tableStyleInfo name="TableStyleLight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00000000-000C-0000-FFFF-FFFF2B000000}" name="Table257552526910134344464748495657585963151817192245666768" displayName="Table257552526910134344464748495657585963151817192245666768" ref="A7:E17" totalsRowShown="0" headerRowDxfId="5411" headerRowBorderDxfId="5410" tableBorderDxfId="5409" totalsRowBorderDxfId="5408">
  <autoFilter ref="A7:E17" xr:uid="{00000000-0009-0000-0100-000043000000}"/>
  <tableColumns count="5">
    <tableColumn id="1" xr3:uid="{00000000-0010-0000-2B00-000001000000}" name="Step" dataDxfId="5407"/>
    <tableColumn id="2" xr3:uid="{00000000-0010-0000-2B00-000002000000}" name="Action" dataDxfId="5406"/>
    <tableColumn id="3" xr3:uid="{00000000-0010-0000-2B00-000003000000}" name="Message | Input" dataDxfId="5405"/>
    <tableColumn id="5" xr3:uid="{00000000-0010-0000-2B00-000005000000}" name="PEG" dataDxfId="5404"/>
    <tableColumn id="4" xr3:uid="{00000000-0010-0000-2B00-000004000000}" name="Notes &amp; Data Settings" dataDxfId="5403"/>
  </tableColumns>
  <tableStyleInfo name="TableStyleLight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2C000000}" name="Table25755252691013434446474849565758596315181719224566676869" displayName="Table25755252691013434446474849565758596315181719224566676869" ref="A7:E18" totalsRowShown="0" headerRowDxfId="5373" headerRowBorderDxfId="5372" tableBorderDxfId="5371" totalsRowBorderDxfId="5370">
  <autoFilter ref="A7:E18" xr:uid="{00000000-0009-0000-0100-000044000000}"/>
  <tableColumns count="5">
    <tableColumn id="1" xr3:uid="{00000000-0010-0000-2C00-000001000000}" name="Step" dataDxfId="5369"/>
    <tableColumn id="2" xr3:uid="{00000000-0010-0000-2C00-000002000000}" name="Action" dataDxfId="5368"/>
    <tableColumn id="3" xr3:uid="{00000000-0010-0000-2C00-000003000000}" name="Message | Input" dataDxfId="5367"/>
    <tableColumn id="5" xr3:uid="{00000000-0010-0000-2C00-000005000000}" name="PEG" dataDxfId="5366"/>
    <tableColumn id="4" xr3:uid="{00000000-0010-0000-2C00-000004000000}" name="Notes &amp; Data Settings" dataDxfId="5365"/>
  </tableColumns>
  <tableStyleInfo name="TableStyleLight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0000000-000C-0000-FFFF-FFFF2D000000}" name="Table257552526910134344464748495657585963151817192245666771" displayName="Table257552526910134344464748495657585963151817192245666771" ref="A7:E18" totalsRowShown="0" headerRowDxfId="5335" headerRowBorderDxfId="5334" tableBorderDxfId="5333" totalsRowBorderDxfId="5332">
  <autoFilter ref="A7:E18" xr:uid="{00000000-0009-0000-0100-000046000000}"/>
  <tableColumns count="5">
    <tableColumn id="1" xr3:uid="{00000000-0010-0000-2D00-000001000000}" name="Step" dataDxfId="5331"/>
    <tableColumn id="2" xr3:uid="{00000000-0010-0000-2D00-000002000000}" name="Action" dataDxfId="5330"/>
    <tableColumn id="3" xr3:uid="{00000000-0010-0000-2D00-000003000000}" name="Message | Input" dataDxfId="5329"/>
    <tableColumn id="5" xr3:uid="{00000000-0010-0000-2D00-000005000000}" name="PEG" dataDxfId="5328"/>
    <tableColumn id="4" xr3:uid="{00000000-0010-0000-2D00-000004000000}" name="Notes &amp; Data Settings" dataDxfId="5327"/>
  </tableColumns>
  <tableStyleInfo name="TableStyleLight1"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0000000-000C-0000-FFFF-FFFF2E000000}" name="Table25755252691013434446474849565758596315181719224566677172" displayName="Table25755252691013434446474849565758596315181719224566677172" ref="A7:E18" totalsRowShown="0" headerRowDxfId="5294" headerRowBorderDxfId="5293" tableBorderDxfId="5292" totalsRowBorderDxfId="5291">
  <autoFilter ref="A7:E18" xr:uid="{00000000-0009-0000-0100-000047000000}"/>
  <tableColumns count="5">
    <tableColumn id="1" xr3:uid="{00000000-0010-0000-2E00-000001000000}" name="Step" dataDxfId="5290"/>
    <tableColumn id="2" xr3:uid="{00000000-0010-0000-2E00-000002000000}" name="Action" dataDxfId="5289"/>
    <tableColumn id="3" xr3:uid="{00000000-0010-0000-2E00-000003000000}" name="Message | Input" dataDxfId="5288"/>
    <tableColumn id="5" xr3:uid="{00000000-0010-0000-2E00-000005000000}" name="PEG" dataDxfId="5287"/>
    <tableColumn id="4" xr3:uid="{00000000-0010-0000-2E00-000004000000}" name="Notes &amp; Data Settings" dataDxfId="5286"/>
  </tableColumns>
  <tableStyleInfo name="TableStyleLight1"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00000000-000C-0000-FFFF-FFFF2F000000}" name="Table2575525269101343444647484956575859631518171922456667717273" displayName="Table2575525269101343444647484956575859631518171922456667717273" ref="A7:E25" totalsRowShown="0" headerRowDxfId="5257" headerRowBorderDxfId="5256" tableBorderDxfId="5255" totalsRowBorderDxfId="5254">
  <autoFilter ref="A7:E25" xr:uid="{00000000-0009-0000-0100-000048000000}"/>
  <tableColumns count="5">
    <tableColumn id="1" xr3:uid="{00000000-0010-0000-2F00-000001000000}" name="Step" dataDxfId="5253"/>
    <tableColumn id="2" xr3:uid="{00000000-0010-0000-2F00-000002000000}" name="Action" dataDxfId="5252"/>
    <tableColumn id="3" xr3:uid="{00000000-0010-0000-2F00-000003000000}" name="Message | Input" dataDxfId="5251"/>
    <tableColumn id="5" xr3:uid="{00000000-0010-0000-2F00-000005000000}" name="PEG" dataDxfId="5250"/>
    <tableColumn id="4" xr3:uid="{00000000-0010-0000-2F00-000004000000}" name="Notes &amp; Data Settings" dataDxfId="5249"/>
  </tableColumns>
  <tableStyleInfo name="TableStyleLight1"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00000000-000C-0000-FFFF-FFFF30000000}" name="Table257552526910134344464748495657585963151817192245666771727374" displayName="Table257552526910134344464748495657585963151817192245666771727374" ref="A7:E25" totalsRowShown="0" headerRowDxfId="5221" headerRowBorderDxfId="5220" tableBorderDxfId="5219" totalsRowBorderDxfId="5218">
  <autoFilter ref="A7:E25" xr:uid="{00000000-0009-0000-0100-000049000000}"/>
  <tableColumns count="5">
    <tableColumn id="1" xr3:uid="{00000000-0010-0000-3000-000001000000}" name="Step" dataDxfId="5217"/>
    <tableColumn id="2" xr3:uid="{00000000-0010-0000-3000-000002000000}" name="Action" dataDxfId="5216"/>
    <tableColumn id="3" xr3:uid="{00000000-0010-0000-3000-000003000000}" name="Message | Input" dataDxfId="5215"/>
    <tableColumn id="5" xr3:uid="{00000000-0010-0000-3000-000005000000}" name="PEG" dataDxfId="5214"/>
    <tableColumn id="4" xr3:uid="{00000000-0010-0000-3000-000004000000}" name="Notes &amp; Data Settings" dataDxfId="5213"/>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4000000}" name="Table257552526" displayName="Table257552526" ref="A7:E13" totalsRowShown="0" headerRowDxfId="6657" headerRowBorderDxfId="6656" tableBorderDxfId="6655" totalsRowBorderDxfId="6654">
  <autoFilter ref="A7:E13" xr:uid="{00000000-0009-0000-0100-000019000000}"/>
  <tableColumns count="5">
    <tableColumn id="1" xr3:uid="{00000000-0010-0000-0400-000001000000}" name="Step" dataDxfId="6653"/>
    <tableColumn id="2" xr3:uid="{00000000-0010-0000-0400-000002000000}" name="Action" dataDxfId="6652"/>
    <tableColumn id="3" xr3:uid="{00000000-0010-0000-0400-000003000000}" name="Message | Input" dataDxfId="6651">
      <calculatedColumnFormula>VLOOKUP(Table257552526[[#This Row],[PEG]],Table1016[],2,FALSE)</calculatedColumnFormula>
    </tableColumn>
    <tableColumn id="5" xr3:uid="{00000000-0010-0000-0400-000005000000}" name="PEG" dataDxfId="6650"/>
    <tableColumn id="4" xr3:uid="{00000000-0010-0000-0400-000004000000}" name="Notes &amp; Data Settings" dataDxfId="6649"/>
  </tableColumns>
  <tableStyleInfo name="TableStyleLight1"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00000000-000C-0000-FFFF-FFFF31000000}" name="Table25755252691013434446474849565758596315181719224566677172737476" displayName="Table25755252691013434446474849565758596315181719224566677172737476" ref="A7:E24" totalsRowShown="0" headerRowDxfId="5181" headerRowBorderDxfId="5180" tableBorderDxfId="5179" totalsRowBorderDxfId="5178">
  <autoFilter ref="A7:E24" xr:uid="{00000000-0009-0000-0100-00004B000000}"/>
  <tableColumns count="5">
    <tableColumn id="1" xr3:uid="{00000000-0010-0000-3100-000001000000}" name="Step" dataDxfId="5177"/>
    <tableColumn id="2" xr3:uid="{00000000-0010-0000-3100-000002000000}" name="Action" dataDxfId="5176"/>
    <tableColumn id="3" xr3:uid="{00000000-0010-0000-3100-000003000000}" name="Message | Input" dataDxfId="5175"/>
    <tableColumn id="5" xr3:uid="{00000000-0010-0000-3100-000005000000}" name="PEG" dataDxfId="5174"/>
    <tableColumn id="4" xr3:uid="{00000000-0010-0000-3100-000004000000}" name="Notes &amp; Data Settings" dataDxfId="5173"/>
  </tableColumns>
  <tableStyleInfo name="TableStyleLight1"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00000000-000C-0000-FFFF-FFFF32000000}" name="Table25755252691013434446474849565758596315181719224566677172737483" displayName="Table25755252691013434446474849565758596315181719224566677172737483" ref="A7:E25" totalsRowShown="0" headerRowDxfId="5141" headerRowBorderDxfId="5140" tableBorderDxfId="5139" totalsRowBorderDxfId="5138">
  <autoFilter ref="A7:E25" xr:uid="{00000000-0009-0000-0100-000052000000}"/>
  <tableColumns count="5">
    <tableColumn id="1" xr3:uid="{00000000-0010-0000-3200-000001000000}" name="Step" dataDxfId="5137"/>
    <tableColumn id="2" xr3:uid="{00000000-0010-0000-3200-000002000000}" name="Action" dataDxfId="5136"/>
    <tableColumn id="3" xr3:uid="{00000000-0010-0000-3200-000003000000}" name="Message | Input" dataDxfId="5135"/>
    <tableColumn id="5" xr3:uid="{00000000-0010-0000-3200-000005000000}" name="PEG" dataDxfId="5134"/>
    <tableColumn id="4" xr3:uid="{00000000-0010-0000-3200-000004000000}" name="Notes &amp; Data Settings" dataDxfId="5133"/>
  </tableColumns>
  <tableStyleInfo name="TableStyleLight1"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00000000-000C-0000-FFFF-FFFF33000000}" name="Table2575525269101343444647484956575859631518171922456667717273748387" displayName="Table2575525269101343444647484956575859631518171922456667717273748387" ref="A7:E24" totalsRowShown="0" headerRowDxfId="5105" headerRowBorderDxfId="5104" tableBorderDxfId="5103" totalsRowBorderDxfId="5102">
  <autoFilter ref="A7:E24" xr:uid="{00000000-0009-0000-0100-000056000000}"/>
  <tableColumns count="5">
    <tableColumn id="1" xr3:uid="{00000000-0010-0000-3300-000001000000}" name="Step" dataDxfId="5101"/>
    <tableColumn id="2" xr3:uid="{00000000-0010-0000-3300-000002000000}" name="Action" dataDxfId="5100"/>
    <tableColumn id="3" xr3:uid="{00000000-0010-0000-3300-000003000000}" name="Message | Input" dataDxfId="5099"/>
    <tableColumn id="5" xr3:uid="{00000000-0010-0000-3300-000005000000}" name="PEG" dataDxfId="5098"/>
    <tableColumn id="4" xr3:uid="{00000000-0010-0000-3300-000004000000}" name="Notes &amp; Data Settings" dataDxfId="5097"/>
  </tableColumns>
  <tableStyleInfo name="TableStyleLight1"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00000000-000C-0000-FFFF-FFFF34000000}" name="Table2575525269101343444647484956575859631518171922456667717273748388" displayName="Table2575525269101343444647484956575859631518171922456667717273748388" ref="A7:E25" totalsRowShown="0" headerRowDxfId="5072" headerRowBorderDxfId="5071" tableBorderDxfId="5070" totalsRowBorderDxfId="5069">
  <autoFilter ref="A7:E25" xr:uid="{00000000-0009-0000-0100-000057000000}"/>
  <tableColumns count="5">
    <tableColumn id="1" xr3:uid="{00000000-0010-0000-3400-000001000000}" name="Step" dataDxfId="5068"/>
    <tableColumn id="2" xr3:uid="{00000000-0010-0000-3400-000002000000}" name="Action" dataDxfId="5067"/>
    <tableColumn id="3" xr3:uid="{00000000-0010-0000-3400-000003000000}" name="Message | Input" dataDxfId="5066"/>
    <tableColumn id="5" xr3:uid="{00000000-0010-0000-3400-000005000000}" name="PEG" dataDxfId="5065"/>
    <tableColumn id="4" xr3:uid="{00000000-0010-0000-3400-000004000000}" name="Notes &amp; Data Settings" dataDxfId="5064"/>
  </tableColumns>
  <tableStyleInfo name="TableStyleLight1"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00000000-000C-0000-FFFF-FFFF35000000}" name="Table25755252691013434446474849565758596315181719224566677172737476777879" displayName="Table25755252691013434446474849565758596315181719224566677172737476777879" ref="A7:E21" totalsRowShown="0" headerRowDxfId="5035" headerRowBorderDxfId="5034" tableBorderDxfId="5033" totalsRowBorderDxfId="5032">
  <autoFilter ref="A7:E21" xr:uid="{00000000-0009-0000-0100-00004E000000}"/>
  <tableColumns count="5">
    <tableColumn id="1" xr3:uid="{00000000-0010-0000-3500-000001000000}" name="Step" dataDxfId="5031"/>
    <tableColumn id="2" xr3:uid="{00000000-0010-0000-3500-000002000000}" name="Action" dataDxfId="5030"/>
    <tableColumn id="3" xr3:uid="{00000000-0010-0000-3500-000003000000}" name="Message | Input" dataDxfId="5029"/>
    <tableColumn id="5" xr3:uid="{00000000-0010-0000-3500-000005000000}" name="PEG" dataDxfId="5028"/>
    <tableColumn id="4" xr3:uid="{00000000-0010-0000-3500-000004000000}" name="Notes &amp; Data Settings" dataDxfId="5027"/>
  </tableColumns>
  <tableStyleInfo name="TableStyleLight1"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00000000-000C-0000-FFFF-FFFF36000000}" name="Table2575525269101343444647484956575859631518171922456667717273747677787993" displayName="Table2575525269101343444647484956575859631518171922456667717273747677787993" ref="A7:E27" totalsRowShown="0" headerRowDxfId="5007" headerRowBorderDxfId="5006" tableBorderDxfId="5005" totalsRowBorderDxfId="5004">
  <autoFilter ref="A7:E27" xr:uid="{00000000-0009-0000-0100-00005C000000}"/>
  <tableColumns count="5">
    <tableColumn id="1" xr3:uid="{00000000-0010-0000-3600-000001000000}" name="Step" dataDxfId="5003"/>
    <tableColumn id="2" xr3:uid="{00000000-0010-0000-3600-000002000000}" name="Action" dataDxfId="5002"/>
    <tableColumn id="3" xr3:uid="{00000000-0010-0000-3600-000003000000}" name="Message | Input" dataDxfId="5001"/>
    <tableColumn id="5" xr3:uid="{00000000-0010-0000-3600-000005000000}" name="PEG" dataDxfId="5000"/>
    <tableColumn id="4" xr3:uid="{00000000-0010-0000-3600-000004000000}" name="Notes &amp; Data Settings" dataDxfId="4999"/>
  </tableColumns>
  <tableStyleInfo name="TableStyleLight1"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00000000-000C-0000-FFFF-FFFF37000000}" name="Table257552526910134344464748495657585963151817192245666771727374767778799394" displayName="Table257552526910134344464748495657585963151817192245666771727374767778799394" ref="A7:E24" totalsRowShown="0" headerRowDxfId="4973" headerRowBorderDxfId="4972" tableBorderDxfId="4971" totalsRowBorderDxfId="4970">
  <autoFilter ref="A7:E24" xr:uid="{00000000-0009-0000-0100-00005D000000}"/>
  <tableColumns count="5">
    <tableColumn id="1" xr3:uid="{00000000-0010-0000-3700-000001000000}" name="Step" dataDxfId="4969"/>
    <tableColumn id="2" xr3:uid="{00000000-0010-0000-3700-000002000000}" name="Action" dataDxfId="4968"/>
    <tableColumn id="3" xr3:uid="{00000000-0010-0000-3700-000003000000}" name="Message | Input" dataDxfId="4967"/>
    <tableColumn id="5" xr3:uid="{00000000-0010-0000-3700-000005000000}" name="PEG" dataDxfId="4966"/>
    <tableColumn id="4" xr3:uid="{00000000-0010-0000-3700-000004000000}" name="Notes &amp; Data Settings" dataDxfId="4965"/>
  </tableColumns>
  <tableStyleInfo name="TableStyleLight1"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00000000-000C-0000-FFFF-FFFF38000000}" name="Table25755252691013434446474849565758596315181719224566677172737476777879939495" displayName="Table25755252691013434446474849565758596315181719224566677172737476777879939495" ref="A7:E24" totalsRowShown="0" headerRowDxfId="4944" headerRowBorderDxfId="4943" tableBorderDxfId="4942" totalsRowBorderDxfId="4941">
  <autoFilter ref="A7:E24" xr:uid="{00000000-0009-0000-0100-00005E000000}"/>
  <tableColumns count="5">
    <tableColumn id="1" xr3:uid="{00000000-0010-0000-3800-000001000000}" name="Step" dataDxfId="4940"/>
    <tableColumn id="2" xr3:uid="{00000000-0010-0000-3800-000002000000}" name="Action" dataDxfId="4939"/>
    <tableColumn id="3" xr3:uid="{00000000-0010-0000-3800-000003000000}" name="Message | Input" dataDxfId="4938"/>
    <tableColumn id="5" xr3:uid="{00000000-0010-0000-3800-000005000000}" name="PEG" dataDxfId="4937"/>
    <tableColumn id="4" xr3:uid="{00000000-0010-0000-3800-000004000000}" name="Notes &amp; Data Settings" dataDxfId="4936"/>
  </tableColumns>
  <tableStyleInfo name="TableStyleLight1"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00000000-000C-0000-FFFF-FFFF39000000}" name="Table2575525269101343444647484956575859631518171922456667717273747677787993949596" displayName="Table2575525269101343444647484956575859631518171922456667717273747677787993949596" ref="A7:E24" totalsRowShown="0" headerRowDxfId="4902" headerRowBorderDxfId="4901" tableBorderDxfId="4900" totalsRowBorderDxfId="4899">
  <autoFilter ref="A7:E24" xr:uid="{00000000-0009-0000-0100-00005F000000}"/>
  <tableColumns count="5">
    <tableColumn id="1" xr3:uid="{00000000-0010-0000-3900-000001000000}" name="Step" dataDxfId="4898"/>
    <tableColumn id="2" xr3:uid="{00000000-0010-0000-3900-000002000000}" name="Action" dataDxfId="4897"/>
    <tableColumn id="3" xr3:uid="{00000000-0010-0000-3900-000003000000}" name="Message | Input" dataDxfId="4896"/>
    <tableColumn id="5" xr3:uid="{00000000-0010-0000-3900-000005000000}" name="PEG" dataDxfId="4895"/>
    <tableColumn id="4" xr3:uid="{00000000-0010-0000-3900-000004000000}" name="Notes &amp; Data Settings" dataDxfId="4894"/>
  </tableColumns>
  <tableStyleInfo name="TableStyleLight1"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3A000000}" name="Table2575525269101343444647484956575859631518171922456667717273747677787993949597" displayName="Table2575525269101343444647484956575859631518171922456667717273747677787993949597" ref="A7:E24" totalsRowShown="0" headerRowDxfId="4871" headerRowBorderDxfId="4870" tableBorderDxfId="4869" totalsRowBorderDxfId="4868">
  <autoFilter ref="A7:E24" xr:uid="{00000000-0009-0000-0100-000060000000}"/>
  <tableColumns count="5">
    <tableColumn id="1" xr3:uid="{00000000-0010-0000-3A00-000001000000}" name="Step" dataDxfId="4867"/>
    <tableColumn id="2" xr3:uid="{00000000-0010-0000-3A00-000002000000}" name="Action" dataDxfId="4866"/>
    <tableColumn id="3" xr3:uid="{00000000-0010-0000-3A00-000003000000}" name="Message | Input" dataDxfId="4865"/>
    <tableColumn id="5" xr3:uid="{00000000-0010-0000-3A00-000005000000}" name="PEG" dataDxfId="4864"/>
    <tableColumn id="4" xr3:uid="{00000000-0010-0000-3A00-000004000000}" name="Notes &amp; Data Settings" dataDxfId="4863"/>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00000000-000C-0000-FFFF-FFFF05000000}" name="Table25755252670" displayName="Table25755252670" ref="A7:E15" totalsRowShown="0" headerRowDxfId="6638" headerRowBorderDxfId="6637" tableBorderDxfId="6636" totalsRowBorderDxfId="6635">
  <autoFilter ref="A7:E15" xr:uid="{00000000-0009-0000-0100-000045000000}"/>
  <tableColumns count="5">
    <tableColumn id="1" xr3:uid="{00000000-0010-0000-0500-000001000000}" name="Step" dataDxfId="6634"/>
    <tableColumn id="2" xr3:uid="{00000000-0010-0000-0500-000002000000}" name="Action" dataDxfId="6633"/>
    <tableColumn id="3" xr3:uid="{00000000-0010-0000-0500-000003000000}" name="Message | Input" dataDxfId="6632">
      <calculatedColumnFormula>VLOOKUP(Table25755252670[[#This Row],[PEG]],Table1016[],2,FALSE)</calculatedColumnFormula>
    </tableColumn>
    <tableColumn id="5" xr3:uid="{00000000-0010-0000-0500-000005000000}" name="PEG" dataDxfId="6631"/>
    <tableColumn id="4" xr3:uid="{00000000-0010-0000-0500-000004000000}" name="Notes &amp; Data Settings" dataDxfId="6630"/>
  </tableColumns>
  <tableStyleInfo name="TableStyleLight1"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3B000000}" name="Table257552526910134344464748495657585963151817192245666771727374767778799394959732" displayName="Table257552526910134344464748495657585963151817192245666771727374767778799394959732" ref="A7:E25" totalsRowShown="0" headerRowDxfId="4836" headerRowBorderDxfId="4835" tableBorderDxfId="4834" totalsRowBorderDxfId="4833">
  <autoFilter ref="A7:E25" xr:uid="{00000000-0009-0000-0100-00001F000000}"/>
  <tableColumns count="5">
    <tableColumn id="1" xr3:uid="{00000000-0010-0000-3B00-000001000000}" name="Step" dataDxfId="4832"/>
    <tableColumn id="2" xr3:uid="{00000000-0010-0000-3B00-000002000000}" name="Action" dataDxfId="4831"/>
    <tableColumn id="3" xr3:uid="{00000000-0010-0000-3B00-000003000000}" name="Message | Input" dataDxfId="4830"/>
    <tableColumn id="5" xr3:uid="{00000000-0010-0000-3B00-000005000000}" name="PEG" dataDxfId="4829"/>
    <tableColumn id="4" xr3:uid="{00000000-0010-0000-3B00-000004000000}" name="Notes &amp; Data Settings" dataDxfId="4828"/>
  </tableColumns>
  <tableStyleInfo name="TableStyleLight1"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00000000-000C-0000-FFFF-FFFF3C000000}" name="Table25755252691013434446474849565758596315181719224566677172737476777879939495100" displayName="Table25755252691013434446474849565758596315181719224566677172737476777879939495100" ref="A7:E21" totalsRowShown="0" headerRowDxfId="4801" headerRowBorderDxfId="4800" tableBorderDxfId="4799" totalsRowBorderDxfId="4798">
  <autoFilter ref="A7:E21" xr:uid="{00000000-0009-0000-0100-000063000000}"/>
  <tableColumns count="5">
    <tableColumn id="1" xr3:uid="{00000000-0010-0000-3C00-000001000000}" name="Step" dataDxfId="4797"/>
    <tableColumn id="2" xr3:uid="{00000000-0010-0000-3C00-000002000000}" name="Action" dataDxfId="4796"/>
    <tableColumn id="3" xr3:uid="{00000000-0010-0000-3C00-000003000000}" name="Message | Input" dataDxfId="4795"/>
    <tableColumn id="5" xr3:uid="{00000000-0010-0000-3C00-000005000000}" name="PEG" dataDxfId="4794"/>
    <tableColumn id="4" xr3:uid="{00000000-0010-0000-3C00-000004000000}" name="Notes &amp; Data Settings" dataDxfId="4793"/>
  </tableColumns>
  <tableStyleInfo name="TableStyleLight1"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00000000-000C-0000-FFFF-FFFF3D000000}" name="Table25755252691013434446474849565758596315181719224566677172737476777879939495100102" displayName="Table25755252691013434446474849565758596315181719224566677172737476777879939495100102" ref="A7:E23" totalsRowShown="0" headerRowDxfId="4771" headerRowBorderDxfId="4770" tableBorderDxfId="4769" totalsRowBorderDxfId="4768">
  <autoFilter ref="A7:E23" xr:uid="{00000000-0009-0000-0100-000065000000}"/>
  <tableColumns count="5">
    <tableColumn id="1" xr3:uid="{00000000-0010-0000-3D00-000001000000}" name="Step" dataDxfId="4767"/>
    <tableColumn id="2" xr3:uid="{00000000-0010-0000-3D00-000002000000}" name="Action" dataDxfId="4766"/>
    <tableColumn id="3" xr3:uid="{00000000-0010-0000-3D00-000003000000}" name="Message | Input" dataDxfId="4765"/>
    <tableColumn id="5" xr3:uid="{00000000-0010-0000-3D00-000005000000}" name="PEG" dataDxfId="4764"/>
    <tableColumn id="4" xr3:uid="{00000000-0010-0000-3D00-000004000000}" name="Notes &amp; Data Settings" dataDxfId="4763"/>
  </tableColumns>
  <tableStyleInfo name="TableStyleLight1"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00000000-000C-0000-FFFF-FFFF3E000000}" name="Table25755252691013434446474849565758596315181719224566677172737476777879939495100104" displayName="Table25755252691013434446474849565758596315181719224566677172737476777879939495100104" ref="A7:E28" totalsRowShown="0" headerRowDxfId="4744" headerRowBorderDxfId="4743" tableBorderDxfId="4742" totalsRowBorderDxfId="4741">
  <autoFilter ref="A7:E28" xr:uid="{00000000-0009-0000-0100-000067000000}"/>
  <tableColumns count="5">
    <tableColumn id="1" xr3:uid="{00000000-0010-0000-3E00-000001000000}" name="Step" dataDxfId="4740"/>
    <tableColumn id="2" xr3:uid="{00000000-0010-0000-3E00-000002000000}" name="Action" dataDxfId="4739"/>
    <tableColumn id="3" xr3:uid="{00000000-0010-0000-3E00-000003000000}" name="Message | Input" dataDxfId="4738"/>
    <tableColumn id="5" xr3:uid="{00000000-0010-0000-3E00-000005000000}" name="PEG" dataDxfId="4737"/>
    <tableColumn id="4" xr3:uid="{00000000-0010-0000-3E00-000004000000}" name="Notes &amp; Data Settings" dataDxfId="4736"/>
  </tableColumns>
  <tableStyleInfo name="TableStyleLight1"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00000000-000C-0000-FFFF-FFFF3F000000}" name="Table25755252691013434446474849565758596315181719224566677172737476777879939495100104107" displayName="Table25755252691013434446474849565758596315181719224566677172737476777879939495100104107" ref="A7:E16" totalsRowShown="0" headerRowDxfId="4709" headerRowBorderDxfId="4708" tableBorderDxfId="4707" totalsRowBorderDxfId="4706">
  <autoFilter ref="A7:E16" xr:uid="{00000000-0009-0000-0100-00006A000000}"/>
  <tableColumns count="5">
    <tableColumn id="1" xr3:uid="{00000000-0010-0000-3F00-000001000000}" name="Step" dataDxfId="4705"/>
    <tableColumn id="2" xr3:uid="{00000000-0010-0000-3F00-000002000000}" name="Action" dataDxfId="4704"/>
    <tableColumn id="3" xr3:uid="{00000000-0010-0000-3F00-000003000000}" name="Message | Input" dataDxfId="4703"/>
    <tableColumn id="5" xr3:uid="{00000000-0010-0000-3F00-000005000000}" name="PEG" dataDxfId="4702"/>
    <tableColumn id="4" xr3:uid="{00000000-0010-0000-3F00-000004000000}" name="Notes &amp; Data Settings" dataDxfId="4701"/>
  </tableColumns>
  <tableStyleInfo name="TableStyleLight1"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xr:uid="{00000000-000C-0000-FFFF-FFFF40000000}" name="Table25755252691013434446474849565758596315181719224566677172737476777879939495100104109" displayName="Table25755252691013434446474849565758596315181719224566677172737476777879939495100104109" ref="A7:E21" totalsRowShown="0" headerRowDxfId="4672" headerRowBorderDxfId="4671" tableBorderDxfId="4670" totalsRowBorderDxfId="4669">
  <autoFilter ref="A7:E21" xr:uid="{00000000-0009-0000-0100-00006C000000}"/>
  <tableColumns count="5">
    <tableColumn id="1" xr3:uid="{00000000-0010-0000-4000-000001000000}" name="Step" dataDxfId="4668"/>
    <tableColumn id="2" xr3:uid="{00000000-0010-0000-4000-000002000000}" name="Action" dataDxfId="4667"/>
    <tableColumn id="3" xr3:uid="{00000000-0010-0000-4000-000003000000}" name="Message | Input" dataDxfId="4666"/>
    <tableColumn id="5" xr3:uid="{00000000-0010-0000-4000-000005000000}" name="PEG" dataDxfId="4665"/>
    <tableColumn id="4" xr3:uid="{00000000-0010-0000-4000-000004000000}" name="Notes &amp; Data Settings" dataDxfId="4664"/>
  </tableColumns>
  <tableStyleInfo name="TableStyleLight1"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00000000-000C-0000-FFFF-FFFF41000000}" name="Table25755252691013434446474849565758596315181719224566677172737476777879939495100104109111" displayName="Table25755252691013434446474849565758596315181719224566677172737476777879939495100104109111" ref="A7:E21" totalsRowShown="0" headerRowDxfId="4635" headerRowBorderDxfId="4634" tableBorderDxfId="4633" totalsRowBorderDxfId="4632">
  <autoFilter ref="A7:E21" xr:uid="{00000000-0009-0000-0100-00006E000000}"/>
  <tableColumns count="5">
    <tableColumn id="1" xr3:uid="{00000000-0010-0000-4100-000001000000}" name="Step" dataDxfId="4631"/>
    <tableColumn id="2" xr3:uid="{00000000-0010-0000-4100-000002000000}" name="Action" dataDxfId="4630"/>
    <tableColumn id="3" xr3:uid="{00000000-0010-0000-4100-000003000000}" name="Message | Input" dataDxfId="4629"/>
    <tableColumn id="5" xr3:uid="{00000000-0010-0000-4100-000005000000}" name="PEG" dataDxfId="4628"/>
    <tableColumn id="4" xr3:uid="{00000000-0010-0000-4100-000004000000}" name="Notes &amp; Data Settings" dataDxfId="4627"/>
  </tableColumns>
  <tableStyleInfo name="TableStyleLight1"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00000000-000C-0000-FFFF-FFFF42000000}" name="Table25755252691013434446474849565758596315181719224566677172737476777879939495100104109111113" displayName="Table25755252691013434446474849565758596315181719224566677172737476777879939495100104109111113" ref="A7:E21" totalsRowShown="0" headerRowDxfId="4599" headerRowBorderDxfId="4598" tableBorderDxfId="4597" totalsRowBorderDxfId="4596">
  <autoFilter ref="A7:E21" xr:uid="{00000000-0009-0000-0100-000070000000}"/>
  <tableColumns count="5">
    <tableColumn id="1" xr3:uid="{00000000-0010-0000-4200-000001000000}" name="Step" dataDxfId="4595"/>
    <tableColumn id="2" xr3:uid="{00000000-0010-0000-4200-000002000000}" name="Action" dataDxfId="4594"/>
    <tableColumn id="3" xr3:uid="{00000000-0010-0000-4200-000003000000}" name="Message | Input" dataDxfId="4593"/>
    <tableColumn id="5" xr3:uid="{00000000-0010-0000-4200-000005000000}" name="PEG" dataDxfId="4592"/>
    <tableColumn id="4" xr3:uid="{00000000-0010-0000-4200-000004000000}" name="Notes &amp; Data Settings" dataDxfId="4591"/>
  </tableColumns>
  <tableStyleInfo name="TableStyleLight1"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xr:uid="{00000000-000C-0000-FFFF-FFFF43000000}" name="Table25755252691013434446474849565758596315181719224566677172737476777879939495100104109111113115" displayName="Table25755252691013434446474849565758596315181719224566677172737476777879939495100104109111113115" ref="A7:E34" totalsRowShown="0" headerRowDxfId="4558" headerRowBorderDxfId="4557" tableBorderDxfId="4556" totalsRowBorderDxfId="4555">
  <autoFilter ref="A7:E34" xr:uid="{00000000-0009-0000-0100-000072000000}"/>
  <tableColumns count="5">
    <tableColumn id="1" xr3:uid="{00000000-0010-0000-4300-000001000000}" name="Step" dataDxfId="4554"/>
    <tableColumn id="2" xr3:uid="{00000000-0010-0000-4300-000002000000}" name="Action" dataDxfId="4553"/>
    <tableColumn id="3" xr3:uid="{00000000-0010-0000-4300-000003000000}" name="Message | Input" dataDxfId="4552"/>
    <tableColumn id="5" xr3:uid="{00000000-0010-0000-4300-000005000000}" name="PEG" dataDxfId="4551"/>
    <tableColumn id="4" xr3:uid="{00000000-0010-0000-4300-000004000000}" name="Notes &amp; Data Settings" dataDxfId="4550"/>
  </tableColumns>
  <tableStyleInfo name="TableStyleLight1"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xr:uid="{00000000-000C-0000-FFFF-FFFF44000000}" name="Table25755252691013434446474849565758596315181719224566677172737476777879939495100104109111113115117" displayName="Table25755252691013434446474849565758596315181719224566677172737476777879939495100104109111113115117" ref="A7:E24" totalsRowShown="0" headerRowDxfId="4522" headerRowBorderDxfId="4521" tableBorderDxfId="4520" totalsRowBorderDxfId="4519">
  <autoFilter ref="A7:E24" xr:uid="{00000000-0009-0000-0100-000074000000}"/>
  <tableColumns count="5">
    <tableColumn id="1" xr3:uid="{00000000-0010-0000-4400-000001000000}" name="Step" dataDxfId="4518"/>
    <tableColumn id="2" xr3:uid="{00000000-0010-0000-4400-000002000000}" name="Action" dataDxfId="4517"/>
    <tableColumn id="3" xr3:uid="{00000000-0010-0000-4400-000003000000}" name="Message | Input" dataDxfId="4516"/>
    <tableColumn id="5" xr3:uid="{00000000-0010-0000-4400-000005000000}" name="PEG" dataDxfId="4515"/>
    <tableColumn id="4" xr3:uid="{00000000-0010-0000-4400-000004000000}" name="Notes &amp; Data Settings" dataDxfId="4514"/>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257552526910" displayName="Table257552526910" ref="A7:E17" totalsRowShown="0" headerRowDxfId="6613" headerRowBorderDxfId="6612" tableBorderDxfId="6611" totalsRowBorderDxfId="6610">
  <autoFilter ref="A7:E17" xr:uid="{00000000-0009-0000-0100-000009000000}"/>
  <tableColumns count="5">
    <tableColumn id="1" xr3:uid="{00000000-0010-0000-0600-000001000000}" name="Step" dataDxfId="6609"/>
    <tableColumn id="2" xr3:uid="{00000000-0010-0000-0600-000002000000}" name="Action" dataDxfId="6608"/>
    <tableColumn id="3" xr3:uid="{00000000-0010-0000-0600-000003000000}" name="Message | Input" dataDxfId="6607"/>
    <tableColumn id="5" xr3:uid="{00000000-0010-0000-0600-000005000000}" name="PEG" dataDxfId="6606"/>
    <tableColumn id="4" xr3:uid="{00000000-0010-0000-0600-000004000000}" name="Notes &amp; Data Settings" dataDxfId="6605"/>
  </tableColumns>
  <tableStyleInfo name="TableStyleLight1"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xr:uid="{00000000-000C-0000-FFFF-FFFF45000000}" name="Table25755252691013434446474849565758596315181719224566677172737476777879939495100104109111113115117119" displayName="Table25755252691013434446474849565758596315181719224566677172737476777879939495100104109111113115117119" ref="A7:E19" totalsRowShown="0" headerRowDxfId="4494" headerRowBorderDxfId="4493" tableBorderDxfId="4492" totalsRowBorderDxfId="4491">
  <autoFilter ref="A7:E19" xr:uid="{00000000-0009-0000-0100-000076000000}"/>
  <tableColumns count="5">
    <tableColumn id="1" xr3:uid="{00000000-0010-0000-4500-000001000000}" name="Step" dataDxfId="4490"/>
    <tableColumn id="2" xr3:uid="{00000000-0010-0000-4500-000002000000}" name="Action" dataDxfId="4489"/>
    <tableColumn id="3" xr3:uid="{00000000-0010-0000-4500-000003000000}" name="Message | Input" dataDxfId="4488"/>
    <tableColumn id="5" xr3:uid="{00000000-0010-0000-4500-000005000000}" name="PEG" dataDxfId="4487"/>
    <tableColumn id="4" xr3:uid="{00000000-0010-0000-4500-000004000000}" name="Notes &amp; Data Settings" dataDxfId="4486"/>
  </tableColumns>
  <tableStyleInfo name="TableStyleLight1"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0" xr:uid="{00000000-000C-0000-FFFF-FFFF46000000}" name="Table25755252691013434446474849565758596315181719224566677172737476777879939495100104109111113115117121" displayName="Table25755252691013434446474849565758596315181719224566677172737476777879939495100104109111113115117121" ref="A7:E19" totalsRowShown="0" headerRowDxfId="4461" headerRowBorderDxfId="4460" tableBorderDxfId="4459" totalsRowBorderDxfId="4458">
  <autoFilter ref="A7:E19" xr:uid="{00000000-0009-0000-0100-000078000000}"/>
  <tableColumns count="5">
    <tableColumn id="1" xr3:uid="{00000000-0010-0000-4600-000001000000}" name="Step" dataDxfId="4457"/>
    <tableColumn id="2" xr3:uid="{00000000-0010-0000-4600-000002000000}" name="Action" dataDxfId="4456"/>
    <tableColumn id="3" xr3:uid="{00000000-0010-0000-4600-000003000000}" name="Message | Input" dataDxfId="4455"/>
    <tableColumn id="5" xr3:uid="{00000000-0010-0000-4600-000005000000}" name="PEG" dataDxfId="4454"/>
    <tableColumn id="4" xr3:uid="{00000000-0010-0000-4600-000004000000}" name="Notes &amp; Data Settings" dataDxfId="4453"/>
  </tableColumns>
  <tableStyleInfo name="TableStyleLight1"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xr:uid="{00000000-000C-0000-FFFF-FFFF47000000}" name="Table25755252691013434446474849565758596315181719224566677172737476777879939495100104109111113115117123" displayName="Table25755252691013434446474849565758596315181719224566677172737476777879939495100104109111113115117123" ref="A7:E19" totalsRowShown="0" headerRowDxfId="4435" headerRowBorderDxfId="4434" tableBorderDxfId="4433" totalsRowBorderDxfId="4432">
  <autoFilter ref="A7:E19" xr:uid="{00000000-0009-0000-0100-00007A000000}"/>
  <tableColumns count="5">
    <tableColumn id="1" xr3:uid="{00000000-0010-0000-4700-000001000000}" name="Step" dataDxfId="4431"/>
    <tableColumn id="2" xr3:uid="{00000000-0010-0000-4700-000002000000}" name="Action" dataDxfId="4430"/>
    <tableColumn id="3" xr3:uid="{00000000-0010-0000-4700-000003000000}" name="Message | Input" dataDxfId="4429"/>
    <tableColumn id="5" xr3:uid="{00000000-0010-0000-4700-000005000000}" name="PEG" dataDxfId="4428"/>
    <tableColumn id="4" xr3:uid="{00000000-0010-0000-4700-000004000000}" name="Notes &amp; Data Settings" dataDxfId="4427"/>
  </tableColumns>
  <tableStyleInfo name="TableStyleLight1"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4" xr:uid="{00000000-000C-0000-FFFF-FFFF48000000}" name="Table25755252691013434446474849565758596315181719224566677172737476777879939495100104109111113115117125" displayName="Table25755252691013434446474849565758596315181719224566677172737476777879939495100104109111113115117125" ref="A7:E19" totalsRowShown="0" headerRowDxfId="4408" headerRowBorderDxfId="4407" tableBorderDxfId="4406" totalsRowBorderDxfId="4405">
  <autoFilter ref="A7:E19" xr:uid="{00000000-0009-0000-0100-00007C000000}"/>
  <tableColumns count="5">
    <tableColumn id="1" xr3:uid="{00000000-0010-0000-4800-000001000000}" name="Step" dataDxfId="4404"/>
    <tableColumn id="2" xr3:uid="{00000000-0010-0000-4800-000002000000}" name="Action" dataDxfId="4403"/>
    <tableColumn id="3" xr3:uid="{00000000-0010-0000-4800-000003000000}" name="Message | Input" dataDxfId="4402"/>
    <tableColumn id="5" xr3:uid="{00000000-0010-0000-4800-000005000000}" name="PEG" dataDxfId="4401"/>
    <tableColumn id="4" xr3:uid="{00000000-0010-0000-4800-000004000000}" name="Notes &amp; Data Settings" dataDxfId="4400"/>
  </tableColumns>
  <tableStyleInfo name="TableStyleLight1"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xr:uid="{00000000-000C-0000-FFFF-FFFF49000000}" name="Table25755252691013434446474849565758596315181719224566677172737476777879939495100104109111113115117127" displayName="Table25755252691013434446474849565758596315181719224566677172737476777879939495100104109111113115117127" ref="A7:E21" totalsRowShown="0" headerRowDxfId="4376" headerRowBorderDxfId="4375" tableBorderDxfId="4374" totalsRowBorderDxfId="4373">
  <autoFilter ref="A7:E21" xr:uid="{00000000-0009-0000-0100-00007E000000}"/>
  <tableColumns count="5">
    <tableColumn id="1" xr3:uid="{00000000-0010-0000-4900-000001000000}" name="Step" dataDxfId="4372"/>
    <tableColumn id="2" xr3:uid="{00000000-0010-0000-4900-000002000000}" name="Action" dataDxfId="4371"/>
    <tableColumn id="3" xr3:uid="{00000000-0010-0000-4900-000003000000}" name="Message | Input" dataDxfId="4370"/>
    <tableColumn id="5" xr3:uid="{00000000-0010-0000-4900-000005000000}" name="PEG" dataDxfId="4369"/>
    <tableColumn id="4" xr3:uid="{00000000-0010-0000-4900-000004000000}" name="Notes &amp; Data Settings" dataDxfId="4368"/>
  </tableColumns>
  <tableStyleInfo name="TableStyleLight1"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xr:uid="{00000000-000C-0000-FFFF-FFFF4A000000}" name="Table25755252691013434446474849565758596315181719224566677172737476777879939495100104109111113115117129" displayName="Table25755252691013434446474849565758596315181719224566677172737476777879939495100104109111113115117129" ref="A7:E23" totalsRowShown="0" headerRowDxfId="4324" headerRowBorderDxfId="4323" tableBorderDxfId="4322" totalsRowBorderDxfId="4321">
  <autoFilter ref="A7:E23" xr:uid="{00000000-0009-0000-0100-000080000000}"/>
  <tableColumns count="5">
    <tableColumn id="1" xr3:uid="{00000000-0010-0000-4A00-000001000000}" name="Step" dataDxfId="4320"/>
    <tableColumn id="2" xr3:uid="{00000000-0010-0000-4A00-000002000000}" name="Action" dataDxfId="4319"/>
    <tableColumn id="3" xr3:uid="{00000000-0010-0000-4A00-000003000000}" name="Message | Input" dataDxfId="4318"/>
    <tableColumn id="5" xr3:uid="{00000000-0010-0000-4A00-000005000000}" name="PEG" dataDxfId="4317"/>
    <tableColumn id="4" xr3:uid="{00000000-0010-0000-4A00-000004000000}" name="Notes &amp; Data Settings" dataDxfId="4316"/>
  </tableColumns>
  <tableStyleInfo name="TableStyleLight1"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0" xr:uid="{00000000-000C-0000-FFFF-FFFF4B000000}" name="Table25755252691013434446474849565758596315181719224566677172737476777879939495100104109111113115117131" displayName="Table25755252691013434446474849565758596315181719224566677172737476777879939495100104109111113115117131" ref="A7:E21" totalsRowShown="0" headerRowDxfId="4297" headerRowBorderDxfId="4296" tableBorderDxfId="4295" totalsRowBorderDxfId="4294">
  <autoFilter ref="A7:E21" xr:uid="{00000000-0009-0000-0100-000082000000}"/>
  <tableColumns count="5">
    <tableColumn id="1" xr3:uid="{00000000-0010-0000-4B00-000001000000}" name="Step" dataDxfId="4293"/>
    <tableColumn id="2" xr3:uid="{00000000-0010-0000-4B00-000002000000}" name="Action" dataDxfId="4292"/>
    <tableColumn id="3" xr3:uid="{00000000-0010-0000-4B00-000003000000}" name="Message | Input" dataDxfId="4291"/>
    <tableColumn id="5" xr3:uid="{00000000-0010-0000-4B00-000005000000}" name="PEG" dataDxfId="4290"/>
    <tableColumn id="4" xr3:uid="{00000000-0010-0000-4B00-000004000000}" name="Notes &amp; Data Settings" dataDxfId="4289"/>
  </tableColumns>
  <tableStyleInfo name="TableStyleLight1"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2" xr:uid="{00000000-000C-0000-FFFF-FFFF4C000000}" name="Table25755252691013434446474849565758596315181719224566677172737476777879939495100104109111113115117133" displayName="Table25755252691013434446474849565758596315181719224566677172737476777879939495100104109111113115117133" ref="A7:E27" totalsRowShown="0" headerRowDxfId="4263" headerRowBorderDxfId="4262" tableBorderDxfId="4261" totalsRowBorderDxfId="4260">
  <autoFilter ref="A7:E27" xr:uid="{00000000-0009-0000-0100-000084000000}"/>
  <tableColumns count="5">
    <tableColumn id="1" xr3:uid="{00000000-0010-0000-4C00-000001000000}" name="Step" dataDxfId="4259"/>
    <tableColumn id="2" xr3:uid="{00000000-0010-0000-4C00-000002000000}" name="Action" dataDxfId="4258"/>
    <tableColumn id="3" xr3:uid="{00000000-0010-0000-4C00-000003000000}" name="Message | Input" dataDxfId="4257"/>
    <tableColumn id="5" xr3:uid="{00000000-0010-0000-4C00-000005000000}" name="PEG" dataDxfId="4256"/>
    <tableColumn id="4" xr3:uid="{00000000-0010-0000-4C00-000004000000}" name="Notes &amp; Data Settings" dataDxfId="4255"/>
  </tableColumns>
  <tableStyleInfo name="TableStyleLight1"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4" xr:uid="{00000000-000C-0000-FFFF-FFFF4D000000}" name="Table25755252691013434446474849565758596315181719224566677172737476777879939495100104109111113115117135" displayName="Table25755252691013434446474849565758596315181719224566677172737476777879939495100104109111113115117135" ref="A7:E27" totalsRowShown="0" headerRowDxfId="4229" headerRowBorderDxfId="4228" tableBorderDxfId="4227" totalsRowBorderDxfId="4226">
  <autoFilter ref="A7:E27" xr:uid="{00000000-0009-0000-0100-000086000000}"/>
  <tableColumns count="5">
    <tableColumn id="1" xr3:uid="{00000000-0010-0000-4D00-000001000000}" name="Step" dataDxfId="4225"/>
    <tableColumn id="2" xr3:uid="{00000000-0010-0000-4D00-000002000000}" name="Action" dataDxfId="4224"/>
    <tableColumn id="3" xr3:uid="{00000000-0010-0000-4D00-000003000000}" name="Message | Input" dataDxfId="4223"/>
    <tableColumn id="5" xr3:uid="{00000000-0010-0000-4D00-000005000000}" name="PEG" dataDxfId="4222"/>
    <tableColumn id="4" xr3:uid="{00000000-0010-0000-4D00-000004000000}" name="Notes &amp; Data Settings" dataDxfId="4221"/>
  </tableColumns>
  <tableStyleInfo name="TableStyleLight1"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 xr:uid="{00000000-000C-0000-FFFF-FFFF4E000000}" name="Table25755252691013434446474849565758596315181719224566677172737476777879939495100104109111113115117137" displayName="Table25755252691013434446474849565758596315181719224566677172737476777879939495100104109111113115117137" ref="A7:E30" totalsRowShown="0" headerRowDxfId="4194" headerRowBorderDxfId="4193" tableBorderDxfId="4192" totalsRowBorderDxfId="4191">
  <autoFilter ref="A7:E30" xr:uid="{00000000-0009-0000-0100-000088000000}"/>
  <tableColumns count="5">
    <tableColumn id="1" xr3:uid="{00000000-0010-0000-4E00-000001000000}" name="Step" dataDxfId="4190"/>
    <tableColumn id="2" xr3:uid="{00000000-0010-0000-4E00-000002000000}" name="Action" dataDxfId="4189"/>
    <tableColumn id="3" xr3:uid="{00000000-0010-0000-4E00-000003000000}" name="Message | Input" dataDxfId="4188"/>
    <tableColumn id="5" xr3:uid="{00000000-0010-0000-4E00-000005000000}" name="PEG" dataDxfId="4187"/>
    <tableColumn id="4" xr3:uid="{00000000-0010-0000-4E00-000004000000}" name="Notes &amp; Data Settings" dataDxfId="4186"/>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257552526911" displayName="Table257552526911" ref="A7:E17" totalsRowShown="0" headerRowDxfId="6590" headerRowBorderDxfId="6589" tableBorderDxfId="6588" totalsRowBorderDxfId="6587">
  <autoFilter ref="A7:E17" xr:uid="{00000000-0009-0000-0100-00000A000000}"/>
  <tableColumns count="5">
    <tableColumn id="1" xr3:uid="{00000000-0010-0000-0700-000001000000}" name="Step" dataDxfId="6586"/>
    <tableColumn id="2" xr3:uid="{00000000-0010-0000-0700-000002000000}" name="Action" dataDxfId="6585"/>
    <tableColumn id="3" xr3:uid="{00000000-0010-0000-0700-000003000000}" name="Message | Input" dataDxfId="6584"/>
    <tableColumn id="5" xr3:uid="{00000000-0010-0000-0700-000005000000}" name="PEG" dataDxfId="6583"/>
    <tableColumn id="4" xr3:uid="{00000000-0010-0000-0700-000004000000}" name="Notes &amp; Data Settings" dataDxfId="6582"/>
  </tableColumns>
  <tableStyleInfo name="TableStyleLight1"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 xr:uid="{00000000-000C-0000-FFFF-FFFF4F000000}" name="Table25755252691013434446474849565758596315181719224566677172737476777879939495100104109111113115117138" displayName="Table25755252691013434446474849565758596315181719224566677172737476777879939495100104109111113115117138" ref="A7:E21" totalsRowShown="0" headerRowDxfId="4164" headerRowBorderDxfId="4163" tableBorderDxfId="4162" totalsRowBorderDxfId="4161">
  <autoFilter ref="A7:E21" xr:uid="{00000000-0009-0000-0100-000089000000}"/>
  <tableColumns count="5">
    <tableColumn id="1" xr3:uid="{00000000-0010-0000-4F00-000001000000}" name="Step" dataDxfId="4160"/>
    <tableColumn id="2" xr3:uid="{00000000-0010-0000-4F00-000002000000}" name="Action" dataDxfId="4159"/>
    <tableColumn id="3" xr3:uid="{00000000-0010-0000-4F00-000003000000}" name="Message | Input" dataDxfId="4158"/>
    <tableColumn id="5" xr3:uid="{00000000-0010-0000-4F00-000005000000}" name="PEG" dataDxfId="4157"/>
    <tableColumn id="4" xr3:uid="{00000000-0010-0000-4F00-000004000000}" name="Notes &amp; Data Settings" dataDxfId="4156"/>
  </tableColumns>
  <tableStyleInfo name="TableStyleLight1"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8" xr:uid="{00000000-000C-0000-FFFF-FFFF50000000}" name="Table25755252691013434446474849565758596315181719224566677172737476777879939495100104109111113115117138139" displayName="Table25755252691013434446474849565758596315181719224566677172737476777879939495100104109111113115117138139" ref="A7:E23" totalsRowShown="0" headerRowDxfId="4133" headerRowBorderDxfId="4132" tableBorderDxfId="4131" totalsRowBorderDxfId="4130">
  <autoFilter ref="A7:E23" xr:uid="{00000000-0009-0000-0100-00008A000000}"/>
  <tableColumns count="5">
    <tableColumn id="1" xr3:uid="{00000000-0010-0000-5000-000001000000}" name="Step" dataDxfId="4129"/>
    <tableColumn id="2" xr3:uid="{00000000-0010-0000-5000-000002000000}" name="Action" dataDxfId="4128"/>
    <tableColumn id="3" xr3:uid="{00000000-0010-0000-5000-000003000000}" name="Message | Input" dataDxfId="4127"/>
    <tableColumn id="5" xr3:uid="{00000000-0010-0000-5000-000005000000}" name="PEG" dataDxfId="4126"/>
    <tableColumn id="4" xr3:uid="{00000000-0010-0000-5000-000004000000}" name="Notes &amp; Data Settings" dataDxfId="4125"/>
  </tableColumns>
  <tableStyleInfo name="TableStyleLight1"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 xr:uid="{00000000-000C-0000-FFFF-FFFF51000000}" name="Table25755252691013434446474849565758596315181719224566677172737476777879939495100104109111113115117138139141" displayName="Table25755252691013434446474849565758596315181719224566677172737476777879939495100104109111113115117138139141" ref="A7:E25" totalsRowShown="0" headerRowDxfId="4106" headerRowBorderDxfId="4105" tableBorderDxfId="4104" totalsRowBorderDxfId="4103">
  <autoFilter ref="A7:E25" xr:uid="{00000000-0009-0000-0100-00008C000000}"/>
  <tableColumns count="5">
    <tableColumn id="1" xr3:uid="{00000000-0010-0000-5100-000001000000}" name="Step" dataDxfId="4102"/>
    <tableColumn id="2" xr3:uid="{00000000-0010-0000-5100-000002000000}" name="Action" dataDxfId="4101"/>
    <tableColumn id="3" xr3:uid="{00000000-0010-0000-5100-000003000000}" name="Message | Input" dataDxfId="4100"/>
    <tableColumn id="5" xr3:uid="{00000000-0010-0000-5100-000005000000}" name="PEG" dataDxfId="4099"/>
    <tableColumn id="4" xr3:uid="{00000000-0010-0000-5100-000004000000}" name="Notes &amp; Data Settings" dataDxfId="4098"/>
  </tableColumns>
  <tableStyleInfo name="TableStyleLight1"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52000000}" name="Table257552526910134344464748495657585963151817192245666771727374767778799394951001041091111131151171381391415" displayName="Table257552526910134344464748495657585963151817192245666771727374767778799394951001041091111131151171381391415" ref="A7:E25" totalsRowShown="0" headerRowDxfId="4062" headerRowBorderDxfId="4061" tableBorderDxfId="4060" totalsRowBorderDxfId="4059">
  <autoFilter ref="A7:E25" xr:uid="{00000000-0009-0000-0100-000004000000}"/>
  <tableColumns count="5">
    <tableColumn id="1" xr3:uid="{00000000-0010-0000-5200-000001000000}" name="Step" dataDxfId="4058"/>
    <tableColumn id="2" xr3:uid="{00000000-0010-0000-5200-000002000000}" name="Action" dataDxfId="4057"/>
    <tableColumn id="3" xr3:uid="{00000000-0010-0000-5200-000003000000}" name="Message | Input" dataDxfId="4056"/>
    <tableColumn id="5" xr3:uid="{00000000-0010-0000-5200-000005000000}" name="PEG" dataDxfId="4055"/>
    <tableColumn id="4" xr3:uid="{00000000-0010-0000-5200-000004000000}" name="Notes &amp; Data Settings" dataDxfId="4054"/>
  </tableColumns>
  <tableStyleInfo name="TableStyleLight1"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53000000}" name="Table2575525269101343444647484956575859631518171922456667717273747677787993949510010410911111311511713813914157" displayName="Table2575525269101343444647484956575859631518171922456667717273747677787993949510010410911111311511713813914157" ref="A7:E24" totalsRowShown="0" headerRowDxfId="4022" headerRowBorderDxfId="4021" tableBorderDxfId="4020" totalsRowBorderDxfId="4019">
  <autoFilter ref="A7:E24" xr:uid="{00000000-0009-0000-0100-000006000000}"/>
  <tableColumns count="5">
    <tableColumn id="1" xr3:uid="{00000000-0010-0000-5300-000001000000}" name="Step" dataDxfId="4018"/>
    <tableColumn id="2" xr3:uid="{00000000-0010-0000-5300-000002000000}" name="Action" dataDxfId="4017"/>
    <tableColumn id="3" xr3:uid="{00000000-0010-0000-5300-000003000000}" name="Message | Input" dataDxfId="4016"/>
    <tableColumn id="5" xr3:uid="{00000000-0010-0000-5300-000005000000}" name="PEG" dataDxfId="4015"/>
    <tableColumn id="4" xr3:uid="{00000000-0010-0000-5300-000004000000}" name="Notes &amp; Data Settings" dataDxfId="4014"/>
  </tableColumns>
  <tableStyleInfo name="TableStyleLight1"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54000000}" name="Table25751" displayName="Table25751" ref="A7:E23" totalsRowShown="0" headerRowDxfId="3981" headerRowBorderDxfId="3980" tableBorderDxfId="3979" totalsRowBorderDxfId="3978">
  <autoFilter ref="A7:E23" xr:uid="{00000000-0009-0000-0100-000032000000}"/>
  <tableColumns count="5">
    <tableColumn id="1" xr3:uid="{00000000-0010-0000-5400-000001000000}" name="Step" dataDxfId="3977"/>
    <tableColumn id="2" xr3:uid="{00000000-0010-0000-5400-000002000000}" name="Action" dataDxfId="3976"/>
    <tableColumn id="3" xr3:uid="{00000000-0010-0000-5400-000003000000}" name="Message | Input" dataDxfId="3975"/>
    <tableColumn id="5" xr3:uid="{00000000-0010-0000-5400-000005000000}" name="PEG" dataDxfId="3974"/>
    <tableColumn id="4" xr3:uid="{00000000-0010-0000-5400-000004000000}" name="Notes &amp; Data Settings" dataDxfId="3973"/>
  </tableColumns>
  <tableStyleInfo name="TableStyleLight1"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55000000}" name="Table257519" displayName="Table257519" ref="A7:E25" totalsRowShown="0" headerRowDxfId="3935" headerRowBorderDxfId="3934" tableBorderDxfId="3933" totalsRowBorderDxfId="3932">
  <autoFilter ref="A7:E25" xr:uid="{00000000-0009-0000-0100-000008000000}"/>
  <tableColumns count="5">
    <tableColumn id="1" xr3:uid="{00000000-0010-0000-5500-000001000000}" name="Step" dataDxfId="3931"/>
    <tableColumn id="2" xr3:uid="{00000000-0010-0000-5500-000002000000}" name="Action" dataDxfId="3930"/>
    <tableColumn id="3" xr3:uid="{00000000-0010-0000-5500-000003000000}" name="Message | Input" dataDxfId="3929"/>
    <tableColumn id="5" xr3:uid="{00000000-0010-0000-5500-000005000000}" name="PEG" dataDxfId="3928"/>
    <tableColumn id="4" xr3:uid="{00000000-0010-0000-5500-000004000000}" name="Notes &amp; Data Settings" dataDxfId="3927"/>
  </tableColumns>
  <tableStyleInfo name="TableStyleLight1"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56000000}" name="Table25751950" displayName="Table25751950" ref="A7:E23" totalsRowShown="0" headerRowDxfId="3889" headerRowBorderDxfId="3888" tableBorderDxfId="3887" totalsRowBorderDxfId="3886">
  <autoFilter ref="A7:E23" xr:uid="{00000000-0009-0000-0100-000031000000}"/>
  <tableColumns count="5">
    <tableColumn id="1" xr3:uid="{00000000-0010-0000-5600-000001000000}" name="Step" dataDxfId="3885"/>
    <tableColumn id="2" xr3:uid="{00000000-0010-0000-5600-000002000000}" name="Action" dataDxfId="3884"/>
    <tableColumn id="3" xr3:uid="{00000000-0010-0000-5600-000003000000}" name="Message | Input" dataDxfId="3883"/>
    <tableColumn id="5" xr3:uid="{00000000-0010-0000-5600-000005000000}" name="PEG" dataDxfId="3882"/>
    <tableColumn id="4" xr3:uid="{00000000-0010-0000-5600-000004000000}" name="Notes &amp; Data Settings" dataDxfId="3881"/>
  </tableColumns>
  <tableStyleInfo name="TableStyleLight1"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57000000}" name="Table25751952" displayName="Table25751952" ref="A7:E25" totalsRowShown="0" headerRowDxfId="3843" headerRowBorderDxfId="3842" tableBorderDxfId="3841" totalsRowBorderDxfId="3840">
  <autoFilter ref="A7:E25" xr:uid="{00000000-0009-0000-0100-000033000000}"/>
  <tableColumns count="5">
    <tableColumn id="1" xr3:uid="{00000000-0010-0000-5700-000001000000}" name="Step" dataDxfId="3839"/>
    <tableColumn id="2" xr3:uid="{00000000-0010-0000-5700-000002000000}" name="Action" dataDxfId="3838"/>
    <tableColumn id="3" xr3:uid="{00000000-0010-0000-5700-000003000000}" name="Message | Input" dataDxfId="3837"/>
    <tableColumn id="5" xr3:uid="{00000000-0010-0000-5700-000005000000}" name="PEG" dataDxfId="3836"/>
    <tableColumn id="4" xr3:uid="{00000000-0010-0000-5700-000004000000}" name="Notes &amp; Data Settings" dataDxfId="3835"/>
  </tableColumns>
  <tableStyleInfo name="TableStyleLight1"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58000000}" name="Table25751953" displayName="Table25751953" ref="A7:E23" totalsRowShown="0" headerRowDxfId="3794" headerRowBorderDxfId="3793" tableBorderDxfId="3792" totalsRowBorderDxfId="3791">
  <autoFilter ref="A7:E23" xr:uid="{00000000-0009-0000-0100-000034000000}"/>
  <tableColumns count="5">
    <tableColumn id="1" xr3:uid="{00000000-0010-0000-5800-000001000000}" name="Step" dataDxfId="3790"/>
    <tableColumn id="2" xr3:uid="{00000000-0010-0000-5800-000002000000}" name="Action" dataDxfId="3789"/>
    <tableColumn id="3" xr3:uid="{00000000-0010-0000-5800-000003000000}" name="Message | Input" dataDxfId="3788"/>
    <tableColumn id="5" xr3:uid="{00000000-0010-0000-5800-000005000000}" name="PEG" dataDxfId="3787"/>
    <tableColumn id="4" xr3:uid="{00000000-0010-0000-5800-000004000000}" name="Notes &amp; Data Settings" dataDxfId="3786"/>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5755252691112" displayName="Table25755252691112" ref="A7:E17" totalsRowShown="0" headerRowDxfId="6567" headerRowBorderDxfId="6566" tableBorderDxfId="6565" totalsRowBorderDxfId="6564">
  <autoFilter ref="A7:E17" xr:uid="{00000000-0009-0000-0100-00000B000000}"/>
  <tableColumns count="5">
    <tableColumn id="1" xr3:uid="{00000000-0010-0000-0800-000001000000}" name="Step" dataDxfId="6563"/>
    <tableColumn id="2" xr3:uid="{00000000-0010-0000-0800-000002000000}" name="Action" dataDxfId="6562"/>
    <tableColumn id="3" xr3:uid="{00000000-0010-0000-0800-000003000000}" name="Message | Input" dataDxfId="6561"/>
    <tableColumn id="5" xr3:uid="{00000000-0010-0000-0800-000005000000}" name="PEG" dataDxfId="6560"/>
    <tableColumn id="4" xr3:uid="{00000000-0010-0000-0800-000004000000}" name="Notes &amp; Data Settings" dataDxfId="6559"/>
  </tableColumns>
  <tableStyleInfo name="TableStyleLight1"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59000000}" name="Table25751954" displayName="Table25751954" ref="A7:E23" totalsRowShown="0" headerRowDxfId="3751" headerRowBorderDxfId="3750" tableBorderDxfId="3749" totalsRowBorderDxfId="3748">
  <autoFilter ref="A7:E23" xr:uid="{00000000-0009-0000-0100-000035000000}"/>
  <tableColumns count="5">
    <tableColumn id="1" xr3:uid="{00000000-0010-0000-5900-000001000000}" name="Step" dataDxfId="3747"/>
    <tableColumn id="2" xr3:uid="{00000000-0010-0000-5900-000002000000}" name="Action" dataDxfId="3746"/>
    <tableColumn id="3" xr3:uid="{00000000-0010-0000-5900-000003000000}" name="Message | Input" dataDxfId="3745"/>
    <tableColumn id="5" xr3:uid="{00000000-0010-0000-5900-000005000000}" name="PEG" dataDxfId="3744"/>
    <tableColumn id="4" xr3:uid="{00000000-0010-0000-5900-000004000000}" name="Notes &amp; Data Settings" dataDxfId="3743"/>
  </tableColumns>
  <tableStyleInfo name="TableStyleLight1"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5A000000}" name="Table25751955" displayName="Table25751955" ref="A7:E23" totalsRowShown="0" headerRowDxfId="3702" headerRowBorderDxfId="3701" tableBorderDxfId="3700" totalsRowBorderDxfId="3699">
  <autoFilter ref="A7:E23" xr:uid="{00000000-0009-0000-0100-000036000000}"/>
  <tableColumns count="5">
    <tableColumn id="1" xr3:uid="{00000000-0010-0000-5A00-000001000000}" name="Step" dataDxfId="3698"/>
    <tableColumn id="2" xr3:uid="{00000000-0010-0000-5A00-000002000000}" name="Action" dataDxfId="3697"/>
    <tableColumn id="3" xr3:uid="{00000000-0010-0000-5A00-000003000000}" name="Message | Input" dataDxfId="3696"/>
    <tableColumn id="5" xr3:uid="{00000000-0010-0000-5A00-000005000000}" name="PEG" dataDxfId="3695"/>
    <tableColumn id="4" xr3:uid="{00000000-0010-0000-5A00-000004000000}" name="Notes &amp; Data Settings" dataDxfId="3694"/>
  </tableColumns>
  <tableStyleInfo name="TableStyleLight1"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00000000-000C-0000-FFFF-FFFF5B000000}" name="Table25751975" displayName="Table25751975" ref="A7:E23" totalsRowShown="0" headerRowDxfId="3656" headerRowBorderDxfId="3655" tableBorderDxfId="3654" totalsRowBorderDxfId="3653">
  <autoFilter ref="A7:E23" xr:uid="{00000000-0009-0000-0100-00004A000000}"/>
  <tableColumns count="5">
    <tableColumn id="1" xr3:uid="{00000000-0010-0000-5B00-000001000000}" name="Step" dataDxfId="3652"/>
    <tableColumn id="2" xr3:uid="{00000000-0010-0000-5B00-000002000000}" name="Action" dataDxfId="3651"/>
    <tableColumn id="3" xr3:uid="{00000000-0010-0000-5B00-000003000000}" name="Message | Input" dataDxfId="3650"/>
    <tableColumn id="5" xr3:uid="{00000000-0010-0000-5B00-000005000000}" name="PEG" dataDxfId="3649"/>
    <tableColumn id="4" xr3:uid="{00000000-0010-0000-5B00-000004000000}" name="Notes &amp; Data Settings" dataDxfId="3648"/>
  </tableColumns>
  <tableStyleInfo name="TableStyleLight1"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00000000-000C-0000-FFFF-FFFF5C000000}" name="Table25751977" displayName="Table25751977" ref="A7:E23" totalsRowShown="0" headerRowDxfId="3610" headerRowBorderDxfId="3609" tableBorderDxfId="3608" totalsRowBorderDxfId="3607">
  <autoFilter ref="A7:E23" xr:uid="{00000000-0009-0000-0100-00004C000000}"/>
  <tableColumns count="5">
    <tableColumn id="1" xr3:uid="{00000000-0010-0000-5C00-000001000000}" name="Step" dataDxfId="3606"/>
    <tableColumn id="2" xr3:uid="{00000000-0010-0000-5C00-000002000000}" name="Action" dataDxfId="3605"/>
    <tableColumn id="3" xr3:uid="{00000000-0010-0000-5C00-000003000000}" name="Message | Input" dataDxfId="3604"/>
    <tableColumn id="5" xr3:uid="{00000000-0010-0000-5C00-000005000000}" name="PEG" dataDxfId="3603"/>
    <tableColumn id="4" xr3:uid="{00000000-0010-0000-5C00-000004000000}" name="Notes &amp; Data Settings" dataDxfId="3602"/>
  </tableColumns>
  <tableStyleInfo name="TableStyleLight1"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00000000-000C-0000-FFFF-FFFF5D000000}" name="Table25751978" displayName="Table25751978" ref="A7:E23" totalsRowShown="0" headerRowDxfId="3564" headerRowBorderDxfId="3563" tableBorderDxfId="3562" totalsRowBorderDxfId="3561">
  <autoFilter ref="A7:E23" xr:uid="{00000000-0009-0000-0100-00004D000000}"/>
  <tableColumns count="5">
    <tableColumn id="1" xr3:uid="{00000000-0010-0000-5D00-000001000000}" name="Step" dataDxfId="3560"/>
    <tableColumn id="2" xr3:uid="{00000000-0010-0000-5D00-000002000000}" name="Action" dataDxfId="3559"/>
    <tableColumn id="3" xr3:uid="{00000000-0010-0000-5D00-000003000000}" name="Message | Input" dataDxfId="3558"/>
    <tableColumn id="5" xr3:uid="{00000000-0010-0000-5D00-000005000000}" name="PEG" dataDxfId="3557"/>
    <tableColumn id="4" xr3:uid="{00000000-0010-0000-5D00-000004000000}" name="Notes &amp; Data Settings" dataDxfId="3556"/>
  </tableColumns>
  <tableStyleInfo name="TableStyleLight1"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00000000-000C-0000-FFFF-FFFF5E000000}" name="Table25751980" displayName="Table25751980" ref="A7:E23" totalsRowShown="0" headerRowDxfId="3518" headerRowBorderDxfId="3517" tableBorderDxfId="3516" totalsRowBorderDxfId="3515">
  <autoFilter ref="A7:E23" xr:uid="{00000000-0009-0000-0100-00004F000000}"/>
  <tableColumns count="5">
    <tableColumn id="1" xr3:uid="{00000000-0010-0000-5E00-000001000000}" name="Step" dataDxfId="3514"/>
    <tableColumn id="2" xr3:uid="{00000000-0010-0000-5E00-000002000000}" name="Action" dataDxfId="3513"/>
    <tableColumn id="3" xr3:uid="{00000000-0010-0000-5E00-000003000000}" name="Message | Input" dataDxfId="3512"/>
    <tableColumn id="5" xr3:uid="{00000000-0010-0000-5E00-000005000000}" name="PEG" dataDxfId="3511"/>
    <tableColumn id="4" xr3:uid="{00000000-0010-0000-5E00-000004000000}" name="Notes &amp; Data Settings" dataDxfId="3510"/>
  </tableColumns>
  <tableStyleInfo name="TableStyleLight1"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00000000-000C-0000-FFFF-FFFF5F000000}" name="Table25751981" displayName="Table25751981" ref="A7:E23" totalsRowShown="0" headerRowDxfId="3472" headerRowBorderDxfId="3471" tableBorderDxfId="3470" totalsRowBorderDxfId="3469">
  <autoFilter ref="A7:E23" xr:uid="{00000000-0009-0000-0100-000050000000}"/>
  <tableColumns count="5">
    <tableColumn id="1" xr3:uid="{00000000-0010-0000-5F00-000001000000}" name="Step" dataDxfId="3468"/>
    <tableColumn id="2" xr3:uid="{00000000-0010-0000-5F00-000002000000}" name="Action" dataDxfId="3467"/>
    <tableColumn id="3" xr3:uid="{00000000-0010-0000-5F00-000003000000}" name="Message | Input" dataDxfId="3466"/>
    <tableColumn id="5" xr3:uid="{00000000-0010-0000-5F00-000005000000}" name="PEG" dataDxfId="3465"/>
    <tableColumn id="4" xr3:uid="{00000000-0010-0000-5F00-000004000000}" name="Notes &amp; Data Settings" dataDxfId="3464"/>
  </tableColumns>
  <tableStyleInfo name="TableStyleLight1"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00000000-000C-0000-FFFF-FFFF60000000}" name="Table25751982" displayName="Table25751982" ref="A7:E23" totalsRowShown="0" headerRowDxfId="3426" headerRowBorderDxfId="3425" tableBorderDxfId="3424" totalsRowBorderDxfId="3423">
  <autoFilter ref="A7:E23" xr:uid="{00000000-0009-0000-0100-000051000000}"/>
  <tableColumns count="5">
    <tableColumn id="1" xr3:uid="{00000000-0010-0000-6000-000001000000}" name="Step" dataDxfId="3422"/>
    <tableColumn id="2" xr3:uid="{00000000-0010-0000-6000-000002000000}" name="Action" dataDxfId="3421"/>
    <tableColumn id="3" xr3:uid="{00000000-0010-0000-6000-000003000000}" name="Message | Input" dataDxfId="3420"/>
    <tableColumn id="5" xr3:uid="{00000000-0010-0000-6000-000005000000}" name="PEG" dataDxfId="3419"/>
    <tableColumn id="4" xr3:uid="{00000000-0010-0000-6000-000004000000}" name="Notes &amp; Data Settings" dataDxfId="3418"/>
  </tableColumns>
  <tableStyleInfo name="TableStyleLight1"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61000000}" name="Table25751984" displayName="Table25751984" ref="A7:E23" totalsRowShown="0" headerRowDxfId="3380" headerRowBorderDxfId="3379" tableBorderDxfId="3378" totalsRowBorderDxfId="3377">
  <autoFilter ref="A7:E23" xr:uid="{00000000-0009-0000-0100-000053000000}"/>
  <tableColumns count="5">
    <tableColumn id="1" xr3:uid="{00000000-0010-0000-6100-000001000000}" name="Step" dataDxfId="3376"/>
    <tableColumn id="2" xr3:uid="{00000000-0010-0000-6100-000002000000}" name="Action" dataDxfId="3375"/>
    <tableColumn id="3" xr3:uid="{00000000-0010-0000-6100-000003000000}" name="Message | Input" dataDxfId="3374"/>
    <tableColumn id="5" xr3:uid="{00000000-0010-0000-6100-000005000000}" name="PEG" dataDxfId="3373"/>
    <tableColumn id="4" xr3:uid="{00000000-0010-0000-6100-000004000000}" name="Notes &amp; Data Settings" dataDxfId="3372"/>
  </tableColumns>
  <tableStyleInfo name="TableStyleLight1"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62000000}" name="Table25751985" displayName="Table25751985" ref="A7:E23" totalsRowShown="0" headerRowDxfId="3331" headerRowBorderDxfId="3330" tableBorderDxfId="3329" totalsRowBorderDxfId="3328">
  <autoFilter ref="A7:E23" xr:uid="{00000000-0009-0000-0100-000054000000}"/>
  <tableColumns count="5">
    <tableColumn id="1" xr3:uid="{00000000-0010-0000-6200-000001000000}" name="Step" dataDxfId="3327"/>
    <tableColumn id="2" xr3:uid="{00000000-0010-0000-6200-000002000000}" name="Action" dataDxfId="3326"/>
    <tableColumn id="3" xr3:uid="{00000000-0010-0000-6200-000003000000}" name="Message | Input" dataDxfId="3325"/>
    <tableColumn id="5" xr3:uid="{00000000-0010-0000-6200-000005000000}" name="PEG" dataDxfId="3324"/>
    <tableColumn id="4" xr3:uid="{00000000-0010-0000-6200-000004000000}" name="Notes &amp; Data Settings" dataDxfId="3323"/>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00.xml.rels><?xml version="1.0" encoding="UTF-8" standalone="yes"?>
<Relationships xmlns="http://schemas.openxmlformats.org/package/2006/relationships"><Relationship Id="rId2" Type="http://schemas.openxmlformats.org/officeDocument/2006/relationships/table" Target="../tables/table103.xml"/><Relationship Id="rId1" Type="http://schemas.openxmlformats.org/officeDocument/2006/relationships/printerSettings" Target="../printerSettings/printerSettings45.bin"/></Relationships>
</file>

<file path=xl/worksheets/_rels/sheet101.xml.rels><?xml version="1.0" encoding="UTF-8" standalone="yes"?>
<Relationships xmlns="http://schemas.openxmlformats.org/package/2006/relationships"><Relationship Id="rId2" Type="http://schemas.openxmlformats.org/officeDocument/2006/relationships/table" Target="../tables/table104.xml"/><Relationship Id="rId1" Type="http://schemas.openxmlformats.org/officeDocument/2006/relationships/printerSettings" Target="../printerSettings/printerSettings46.bin"/></Relationships>
</file>

<file path=xl/worksheets/_rels/sheet102.xml.rels><?xml version="1.0" encoding="UTF-8" standalone="yes"?>
<Relationships xmlns="http://schemas.openxmlformats.org/package/2006/relationships"><Relationship Id="rId1" Type="http://schemas.openxmlformats.org/officeDocument/2006/relationships/table" Target="../tables/table105.xml"/></Relationships>
</file>

<file path=xl/worksheets/_rels/sheet103.xml.rels><?xml version="1.0" encoding="UTF-8" standalone="yes"?>
<Relationships xmlns="http://schemas.openxmlformats.org/package/2006/relationships"><Relationship Id="rId1" Type="http://schemas.openxmlformats.org/officeDocument/2006/relationships/table" Target="../tables/table106.xml"/></Relationships>
</file>

<file path=xl/worksheets/_rels/sheet104.xml.rels><?xml version="1.0" encoding="UTF-8" standalone="yes"?>
<Relationships xmlns="http://schemas.openxmlformats.org/package/2006/relationships"><Relationship Id="rId2" Type="http://schemas.openxmlformats.org/officeDocument/2006/relationships/table" Target="../tables/table107.xml"/><Relationship Id="rId1" Type="http://schemas.openxmlformats.org/officeDocument/2006/relationships/printerSettings" Target="../printerSettings/printerSettings47.bin"/></Relationships>
</file>

<file path=xl/worksheets/_rels/sheet105.xml.rels><?xml version="1.0" encoding="UTF-8" standalone="yes"?>
<Relationships xmlns="http://schemas.openxmlformats.org/package/2006/relationships"><Relationship Id="rId2" Type="http://schemas.openxmlformats.org/officeDocument/2006/relationships/table" Target="../tables/table108.xml"/><Relationship Id="rId1" Type="http://schemas.openxmlformats.org/officeDocument/2006/relationships/printerSettings" Target="../printerSettings/printerSettings48.bin"/></Relationships>
</file>

<file path=xl/worksheets/_rels/sheet106.xml.rels><?xml version="1.0" encoding="UTF-8" standalone="yes"?>
<Relationships xmlns="http://schemas.openxmlformats.org/package/2006/relationships"><Relationship Id="rId1" Type="http://schemas.openxmlformats.org/officeDocument/2006/relationships/table" Target="../tables/table109.xml"/></Relationships>
</file>

<file path=xl/worksheets/_rels/sheet107.xml.rels><?xml version="1.0" encoding="UTF-8" standalone="yes"?>
<Relationships xmlns="http://schemas.openxmlformats.org/package/2006/relationships"><Relationship Id="rId2" Type="http://schemas.openxmlformats.org/officeDocument/2006/relationships/table" Target="../tables/table110.xml"/><Relationship Id="rId1" Type="http://schemas.openxmlformats.org/officeDocument/2006/relationships/printerSettings" Target="../printerSettings/printerSettings49.bin"/></Relationships>
</file>

<file path=xl/worksheets/_rels/sheet108.xml.rels><?xml version="1.0" encoding="UTF-8" standalone="yes"?>
<Relationships xmlns="http://schemas.openxmlformats.org/package/2006/relationships"><Relationship Id="rId1" Type="http://schemas.openxmlformats.org/officeDocument/2006/relationships/table" Target="../tables/table111.xml"/></Relationships>
</file>

<file path=xl/worksheets/_rels/sheet109.xml.rels><?xml version="1.0" encoding="UTF-8" standalone="yes"?>
<Relationships xmlns="http://schemas.openxmlformats.org/package/2006/relationships"><Relationship Id="rId1" Type="http://schemas.openxmlformats.org/officeDocument/2006/relationships/table" Target="../tables/table112.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5.bin"/></Relationships>
</file>

<file path=xl/worksheets/_rels/sheet110.xml.rels><?xml version="1.0" encoding="UTF-8" standalone="yes"?>
<Relationships xmlns="http://schemas.openxmlformats.org/package/2006/relationships"><Relationship Id="rId2" Type="http://schemas.openxmlformats.org/officeDocument/2006/relationships/table" Target="../tables/table113.xml"/><Relationship Id="rId1" Type="http://schemas.openxmlformats.org/officeDocument/2006/relationships/printerSettings" Target="../printerSettings/printerSettings50.bin"/></Relationships>
</file>

<file path=xl/worksheets/_rels/sheet111.xml.rels><?xml version="1.0" encoding="UTF-8" standalone="yes"?>
<Relationships xmlns="http://schemas.openxmlformats.org/package/2006/relationships"><Relationship Id="rId2" Type="http://schemas.openxmlformats.org/officeDocument/2006/relationships/table" Target="../tables/table114.xml"/><Relationship Id="rId1" Type="http://schemas.openxmlformats.org/officeDocument/2006/relationships/printerSettings" Target="../printerSettings/printerSettings51.bin"/></Relationships>
</file>

<file path=xl/worksheets/_rels/sheet112.xml.rels><?xml version="1.0" encoding="UTF-8" standalone="yes"?>
<Relationships xmlns="http://schemas.openxmlformats.org/package/2006/relationships"><Relationship Id="rId1" Type="http://schemas.openxmlformats.org/officeDocument/2006/relationships/table" Target="../tables/table115.xml"/></Relationships>
</file>

<file path=xl/worksheets/_rels/sheet113.xml.rels><?xml version="1.0" encoding="UTF-8" standalone="yes"?>
<Relationships xmlns="http://schemas.openxmlformats.org/package/2006/relationships"><Relationship Id="rId1" Type="http://schemas.openxmlformats.org/officeDocument/2006/relationships/table" Target="../tables/table116.xml"/></Relationships>
</file>

<file path=xl/worksheets/_rels/sheet114.xml.rels><?xml version="1.0" encoding="UTF-8" standalone="yes"?>
<Relationships xmlns="http://schemas.openxmlformats.org/package/2006/relationships"><Relationship Id="rId1" Type="http://schemas.openxmlformats.org/officeDocument/2006/relationships/table" Target="../tables/table117.xml"/></Relationships>
</file>

<file path=xl/worksheets/_rels/sheet115.xml.rels><?xml version="1.0" encoding="UTF-8" standalone="yes"?>
<Relationships xmlns="http://schemas.openxmlformats.org/package/2006/relationships"><Relationship Id="rId1" Type="http://schemas.openxmlformats.org/officeDocument/2006/relationships/table" Target="../tables/table118.xml"/></Relationships>
</file>

<file path=xl/worksheets/_rels/sheet116.xml.rels><?xml version="1.0" encoding="UTF-8" standalone="yes"?>
<Relationships xmlns="http://schemas.openxmlformats.org/package/2006/relationships"><Relationship Id="rId1" Type="http://schemas.openxmlformats.org/officeDocument/2006/relationships/table" Target="../tables/table119.xml"/></Relationships>
</file>

<file path=xl/worksheets/_rels/sheet117.xml.rels><?xml version="1.0" encoding="UTF-8" standalone="yes"?>
<Relationships xmlns="http://schemas.openxmlformats.org/package/2006/relationships"><Relationship Id="rId1" Type="http://schemas.openxmlformats.org/officeDocument/2006/relationships/table" Target="../tables/table120.xml"/></Relationships>
</file>

<file path=xl/worksheets/_rels/sheet118.xml.rels><?xml version="1.0" encoding="UTF-8" standalone="yes"?>
<Relationships xmlns="http://schemas.openxmlformats.org/package/2006/relationships"><Relationship Id="rId2" Type="http://schemas.openxmlformats.org/officeDocument/2006/relationships/table" Target="../tables/table121.xml"/><Relationship Id="rId1" Type="http://schemas.openxmlformats.org/officeDocument/2006/relationships/printerSettings" Target="../printerSettings/printerSettings52.bin"/></Relationships>
</file>

<file path=xl/worksheets/_rels/sheet119.xml.rels><?xml version="1.0" encoding="UTF-8" standalone="yes"?>
<Relationships xmlns="http://schemas.openxmlformats.org/package/2006/relationships"><Relationship Id="rId1" Type="http://schemas.openxmlformats.org/officeDocument/2006/relationships/table" Target="../tables/table122.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6.bin"/></Relationships>
</file>

<file path=xl/worksheets/_rels/sheet120.xml.rels><?xml version="1.0" encoding="UTF-8" standalone="yes"?>
<Relationships xmlns="http://schemas.openxmlformats.org/package/2006/relationships"><Relationship Id="rId1" Type="http://schemas.openxmlformats.org/officeDocument/2006/relationships/table" Target="../tables/table123.xml"/></Relationships>
</file>

<file path=xl/worksheets/_rels/sheet121.xml.rels><?xml version="1.0" encoding="UTF-8" standalone="yes"?>
<Relationships xmlns="http://schemas.openxmlformats.org/package/2006/relationships"><Relationship Id="rId1" Type="http://schemas.openxmlformats.org/officeDocument/2006/relationships/table" Target="../tables/table124.xml"/></Relationships>
</file>

<file path=xl/worksheets/_rels/sheet122.xml.rels><?xml version="1.0" encoding="UTF-8" standalone="yes"?>
<Relationships xmlns="http://schemas.openxmlformats.org/package/2006/relationships"><Relationship Id="rId1" Type="http://schemas.openxmlformats.org/officeDocument/2006/relationships/table" Target="../tables/table125.xml"/></Relationships>
</file>

<file path=xl/worksheets/_rels/sheet123.xml.rels><?xml version="1.0" encoding="UTF-8" standalone="yes"?>
<Relationships xmlns="http://schemas.openxmlformats.org/package/2006/relationships"><Relationship Id="rId2" Type="http://schemas.openxmlformats.org/officeDocument/2006/relationships/table" Target="../tables/table126.xml"/><Relationship Id="rId1" Type="http://schemas.openxmlformats.org/officeDocument/2006/relationships/printerSettings" Target="../printerSettings/printerSettings53.bin"/></Relationships>
</file>

<file path=xl/worksheets/_rels/sheet124.xml.rels><?xml version="1.0" encoding="UTF-8" standalone="yes"?>
<Relationships xmlns="http://schemas.openxmlformats.org/package/2006/relationships"><Relationship Id="rId1" Type="http://schemas.openxmlformats.org/officeDocument/2006/relationships/table" Target="../tables/table127.xml"/></Relationships>
</file>

<file path=xl/worksheets/_rels/sheet125.xml.rels><?xml version="1.0" encoding="UTF-8" standalone="yes"?>
<Relationships xmlns="http://schemas.openxmlformats.org/package/2006/relationships"><Relationship Id="rId2" Type="http://schemas.openxmlformats.org/officeDocument/2006/relationships/table" Target="../tables/table128.xml"/><Relationship Id="rId1" Type="http://schemas.openxmlformats.org/officeDocument/2006/relationships/printerSettings" Target="../printerSettings/printerSettings54.bin"/></Relationships>
</file>

<file path=xl/worksheets/_rels/sheet126.xml.rels><?xml version="1.0" encoding="UTF-8" standalone="yes"?>
<Relationships xmlns="http://schemas.openxmlformats.org/package/2006/relationships"><Relationship Id="rId1" Type="http://schemas.openxmlformats.org/officeDocument/2006/relationships/table" Target="../tables/table129.xml"/></Relationships>
</file>

<file path=xl/worksheets/_rels/sheet127.xml.rels><?xml version="1.0" encoding="UTF-8" standalone="yes"?>
<Relationships xmlns="http://schemas.openxmlformats.org/package/2006/relationships"><Relationship Id="rId1" Type="http://schemas.openxmlformats.org/officeDocument/2006/relationships/table" Target="../tables/table130.xml"/></Relationships>
</file>

<file path=xl/worksheets/_rels/sheet128.xml.rels><?xml version="1.0" encoding="UTF-8" standalone="yes"?>
<Relationships xmlns="http://schemas.openxmlformats.org/package/2006/relationships"><Relationship Id="rId1" Type="http://schemas.openxmlformats.org/officeDocument/2006/relationships/table" Target="../tables/table131.xml"/></Relationships>
</file>

<file path=xl/worksheets/_rels/sheet129.xml.rels><?xml version="1.0" encoding="UTF-8" standalone="yes"?>
<Relationships xmlns="http://schemas.openxmlformats.org/package/2006/relationships"><Relationship Id="rId1" Type="http://schemas.openxmlformats.org/officeDocument/2006/relationships/table" Target="../tables/table13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30.xml.rels><?xml version="1.0" encoding="UTF-8" standalone="yes"?>
<Relationships xmlns="http://schemas.openxmlformats.org/package/2006/relationships"><Relationship Id="rId1" Type="http://schemas.openxmlformats.org/officeDocument/2006/relationships/table" Target="../tables/table133.xml"/></Relationships>
</file>

<file path=xl/worksheets/_rels/sheet131.xml.rels><?xml version="1.0" encoding="UTF-8" standalone="yes"?>
<Relationships xmlns="http://schemas.openxmlformats.org/package/2006/relationships"><Relationship Id="rId1" Type="http://schemas.openxmlformats.org/officeDocument/2006/relationships/table" Target="../tables/table134.xml"/></Relationships>
</file>

<file path=xl/worksheets/_rels/sheet132.xml.rels><?xml version="1.0" encoding="UTF-8" standalone="yes"?>
<Relationships xmlns="http://schemas.openxmlformats.org/package/2006/relationships"><Relationship Id="rId2" Type="http://schemas.openxmlformats.org/officeDocument/2006/relationships/table" Target="../tables/table135.xml"/><Relationship Id="rId1" Type="http://schemas.openxmlformats.org/officeDocument/2006/relationships/printerSettings" Target="../printerSettings/printerSettings55.bin"/></Relationships>
</file>

<file path=xl/worksheets/_rels/sheet133.xml.rels><?xml version="1.0" encoding="UTF-8" standalone="yes"?>
<Relationships xmlns="http://schemas.openxmlformats.org/package/2006/relationships"><Relationship Id="rId1" Type="http://schemas.openxmlformats.org/officeDocument/2006/relationships/table" Target="../tables/table136.xml"/></Relationships>
</file>

<file path=xl/worksheets/_rels/sheet134.xml.rels><?xml version="1.0" encoding="UTF-8" standalone="yes"?>
<Relationships xmlns="http://schemas.openxmlformats.org/package/2006/relationships"><Relationship Id="rId1" Type="http://schemas.openxmlformats.org/officeDocument/2006/relationships/table" Target="../tables/table137.xml"/></Relationships>
</file>

<file path=xl/worksheets/_rels/sheet135.xml.rels><?xml version="1.0" encoding="UTF-8" standalone="yes"?>
<Relationships xmlns="http://schemas.openxmlformats.org/package/2006/relationships"><Relationship Id="rId1" Type="http://schemas.openxmlformats.org/officeDocument/2006/relationships/table" Target="../tables/table138.xml"/></Relationships>
</file>

<file path=xl/worksheets/_rels/sheet136.xml.rels><?xml version="1.0" encoding="UTF-8" standalone="yes"?>
<Relationships xmlns="http://schemas.openxmlformats.org/package/2006/relationships"><Relationship Id="rId2" Type="http://schemas.openxmlformats.org/officeDocument/2006/relationships/table" Target="../tables/table139.xml"/><Relationship Id="rId1" Type="http://schemas.openxmlformats.org/officeDocument/2006/relationships/printerSettings" Target="../printerSettings/printerSettings56.bin"/></Relationships>
</file>

<file path=xl/worksheets/_rels/sheet137.xml.rels><?xml version="1.0" encoding="UTF-8" standalone="yes"?>
<Relationships xmlns="http://schemas.openxmlformats.org/package/2006/relationships"><Relationship Id="rId2" Type="http://schemas.openxmlformats.org/officeDocument/2006/relationships/table" Target="../tables/table140.xml"/><Relationship Id="rId1" Type="http://schemas.openxmlformats.org/officeDocument/2006/relationships/printerSettings" Target="../printerSettings/printerSettings57.bin"/></Relationships>
</file>

<file path=xl/worksheets/_rels/sheet138.xml.rels><?xml version="1.0" encoding="UTF-8" standalone="yes"?>
<Relationships xmlns="http://schemas.openxmlformats.org/package/2006/relationships"><Relationship Id="rId1" Type="http://schemas.openxmlformats.org/officeDocument/2006/relationships/table" Target="../tables/table141.xml"/></Relationships>
</file>

<file path=xl/worksheets/_rels/sheet139.xml.rels><?xml version="1.0" encoding="UTF-8" standalone="yes"?>
<Relationships xmlns="http://schemas.openxmlformats.org/package/2006/relationships"><Relationship Id="rId1" Type="http://schemas.openxmlformats.org/officeDocument/2006/relationships/table" Target="../tables/table14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40.xml.rels><?xml version="1.0" encoding="UTF-8" standalone="yes"?>
<Relationships xmlns="http://schemas.openxmlformats.org/package/2006/relationships"><Relationship Id="rId1" Type="http://schemas.openxmlformats.org/officeDocument/2006/relationships/table" Target="../tables/table143.xml"/></Relationships>
</file>

<file path=xl/worksheets/_rels/sheet141.xml.rels><?xml version="1.0" encoding="UTF-8" standalone="yes"?>
<Relationships xmlns="http://schemas.openxmlformats.org/package/2006/relationships"><Relationship Id="rId1" Type="http://schemas.openxmlformats.org/officeDocument/2006/relationships/table" Target="../tables/table144.xml"/></Relationships>
</file>

<file path=xl/worksheets/_rels/sheet142.xml.rels><?xml version="1.0" encoding="UTF-8" standalone="yes"?>
<Relationships xmlns="http://schemas.openxmlformats.org/package/2006/relationships"><Relationship Id="rId1" Type="http://schemas.openxmlformats.org/officeDocument/2006/relationships/table" Target="../tables/table145.xml"/></Relationships>
</file>

<file path=xl/worksheets/_rels/sheet143.xml.rels><?xml version="1.0" encoding="UTF-8" standalone="yes"?>
<Relationships xmlns="http://schemas.openxmlformats.org/package/2006/relationships"><Relationship Id="rId1" Type="http://schemas.openxmlformats.org/officeDocument/2006/relationships/table" Target="../tables/table146.xml"/></Relationships>
</file>

<file path=xl/worksheets/_rels/sheet144.xml.rels><?xml version="1.0" encoding="UTF-8" standalone="yes"?>
<Relationships xmlns="http://schemas.openxmlformats.org/package/2006/relationships"><Relationship Id="rId1" Type="http://schemas.openxmlformats.org/officeDocument/2006/relationships/table" Target="../tables/table147.xml"/></Relationships>
</file>

<file path=xl/worksheets/_rels/sheet145.xml.rels><?xml version="1.0" encoding="UTF-8" standalone="yes"?>
<Relationships xmlns="http://schemas.openxmlformats.org/package/2006/relationships"><Relationship Id="rId1" Type="http://schemas.openxmlformats.org/officeDocument/2006/relationships/table" Target="../tables/table148.xml"/></Relationships>
</file>

<file path=xl/worksheets/_rels/sheet146.xml.rels><?xml version="1.0" encoding="UTF-8" standalone="yes"?>
<Relationships xmlns="http://schemas.openxmlformats.org/package/2006/relationships"><Relationship Id="rId1" Type="http://schemas.openxmlformats.org/officeDocument/2006/relationships/table" Target="../tables/table149.xml"/></Relationships>
</file>

<file path=xl/worksheets/_rels/sheet147.xml.rels><?xml version="1.0" encoding="UTF-8" standalone="yes"?>
<Relationships xmlns="http://schemas.openxmlformats.org/package/2006/relationships"><Relationship Id="rId1" Type="http://schemas.openxmlformats.org/officeDocument/2006/relationships/table" Target="../tables/table150.xml"/></Relationships>
</file>

<file path=xl/worksheets/_rels/sheet148.xml.rels><?xml version="1.0" encoding="UTF-8" standalone="yes"?>
<Relationships xmlns="http://schemas.openxmlformats.org/package/2006/relationships"><Relationship Id="rId1" Type="http://schemas.openxmlformats.org/officeDocument/2006/relationships/table" Target="../tables/table151.xml"/></Relationships>
</file>

<file path=xl/worksheets/_rels/sheet149.xml.rels><?xml version="1.0" encoding="UTF-8" standalone="yes"?>
<Relationships xmlns="http://schemas.openxmlformats.org/package/2006/relationships"><Relationship Id="rId2" Type="http://schemas.openxmlformats.org/officeDocument/2006/relationships/table" Target="../tables/table152.xml"/><Relationship Id="rId1" Type="http://schemas.openxmlformats.org/officeDocument/2006/relationships/printerSettings" Target="../printerSettings/printerSettings58.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50.xml.rels><?xml version="1.0" encoding="UTF-8" standalone="yes"?>
<Relationships xmlns="http://schemas.openxmlformats.org/package/2006/relationships"><Relationship Id="rId1" Type="http://schemas.openxmlformats.org/officeDocument/2006/relationships/table" Target="../tables/table153.xml"/></Relationships>
</file>

<file path=xl/worksheets/_rels/sheet151.xml.rels><?xml version="1.0" encoding="UTF-8" standalone="yes"?>
<Relationships xmlns="http://schemas.openxmlformats.org/package/2006/relationships"><Relationship Id="rId1" Type="http://schemas.openxmlformats.org/officeDocument/2006/relationships/table" Target="../tables/table154.xml"/></Relationships>
</file>

<file path=xl/worksheets/_rels/sheet152.xml.rels><?xml version="1.0" encoding="UTF-8" standalone="yes"?>
<Relationships xmlns="http://schemas.openxmlformats.org/package/2006/relationships"><Relationship Id="rId1" Type="http://schemas.openxmlformats.org/officeDocument/2006/relationships/table" Target="../tables/table155.xml"/></Relationships>
</file>

<file path=xl/worksheets/_rels/sheet153.xml.rels><?xml version="1.0" encoding="UTF-8" standalone="yes"?>
<Relationships xmlns="http://schemas.openxmlformats.org/package/2006/relationships"><Relationship Id="rId1" Type="http://schemas.openxmlformats.org/officeDocument/2006/relationships/table" Target="../tables/table156.xml"/></Relationships>
</file>

<file path=xl/worksheets/_rels/sheet154.xml.rels><?xml version="1.0" encoding="UTF-8" standalone="yes"?>
<Relationships xmlns="http://schemas.openxmlformats.org/package/2006/relationships"><Relationship Id="rId1" Type="http://schemas.openxmlformats.org/officeDocument/2006/relationships/table" Target="../tables/table157.xml"/></Relationships>
</file>

<file path=xl/worksheets/_rels/sheet155.xml.rels><?xml version="1.0" encoding="UTF-8" standalone="yes"?>
<Relationships xmlns="http://schemas.openxmlformats.org/package/2006/relationships"><Relationship Id="rId1" Type="http://schemas.openxmlformats.org/officeDocument/2006/relationships/table" Target="../tables/table158.xml"/></Relationships>
</file>

<file path=xl/worksheets/_rels/sheet156.xml.rels><?xml version="1.0" encoding="UTF-8" standalone="yes"?>
<Relationships xmlns="http://schemas.openxmlformats.org/package/2006/relationships"><Relationship Id="rId1" Type="http://schemas.openxmlformats.org/officeDocument/2006/relationships/table" Target="../tables/table159.xml"/></Relationships>
</file>

<file path=xl/worksheets/_rels/sheet157.xml.rels><?xml version="1.0" encoding="UTF-8" standalone="yes"?>
<Relationships xmlns="http://schemas.openxmlformats.org/package/2006/relationships"><Relationship Id="rId1" Type="http://schemas.openxmlformats.org/officeDocument/2006/relationships/table" Target="../tables/table160.xml"/></Relationships>
</file>

<file path=xl/worksheets/_rels/sheet158.xml.rels><?xml version="1.0" encoding="UTF-8" standalone="yes"?>
<Relationships xmlns="http://schemas.openxmlformats.org/package/2006/relationships"><Relationship Id="rId1" Type="http://schemas.openxmlformats.org/officeDocument/2006/relationships/table" Target="../tables/table161.xml"/></Relationships>
</file>

<file path=xl/worksheets/_rels/sheet159.xml.rels><?xml version="1.0" encoding="UTF-8" standalone="yes"?>
<Relationships xmlns="http://schemas.openxmlformats.org/package/2006/relationships"><Relationship Id="rId1" Type="http://schemas.openxmlformats.org/officeDocument/2006/relationships/table" Target="../tables/table162.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7.bin"/></Relationships>
</file>

<file path=xl/worksheets/_rels/sheet160.xml.rels><?xml version="1.0" encoding="UTF-8" standalone="yes"?>
<Relationships xmlns="http://schemas.openxmlformats.org/package/2006/relationships"><Relationship Id="rId1" Type="http://schemas.openxmlformats.org/officeDocument/2006/relationships/table" Target="../tables/table163.xml"/></Relationships>
</file>

<file path=xl/worksheets/_rels/sheet161.xml.rels><?xml version="1.0" encoding="UTF-8" standalone="yes"?>
<Relationships xmlns="http://schemas.openxmlformats.org/package/2006/relationships"><Relationship Id="rId1" Type="http://schemas.openxmlformats.org/officeDocument/2006/relationships/table" Target="../tables/table164.xml"/></Relationships>
</file>

<file path=xl/worksheets/_rels/sheet162.xml.rels><?xml version="1.0" encoding="UTF-8" standalone="yes"?>
<Relationships xmlns="http://schemas.openxmlformats.org/package/2006/relationships"><Relationship Id="rId1" Type="http://schemas.openxmlformats.org/officeDocument/2006/relationships/table" Target="../tables/table165.xml"/></Relationships>
</file>

<file path=xl/worksheets/_rels/sheet163.xml.rels><?xml version="1.0" encoding="UTF-8" standalone="yes"?>
<Relationships xmlns="http://schemas.openxmlformats.org/package/2006/relationships"><Relationship Id="rId1" Type="http://schemas.openxmlformats.org/officeDocument/2006/relationships/table" Target="../tables/table166.xml"/></Relationships>
</file>

<file path=xl/worksheets/_rels/sheet164.xml.rels><?xml version="1.0" encoding="UTF-8" standalone="yes"?>
<Relationships xmlns="http://schemas.openxmlformats.org/package/2006/relationships"><Relationship Id="rId1" Type="http://schemas.openxmlformats.org/officeDocument/2006/relationships/table" Target="../tables/table167.xml"/></Relationships>
</file>

<file path=xl/worksheets/_rels/sheet165.xml.rels><?xml version="1.0" encoding="UTF-8" standalone="yes"?>
<Relationships xmlns="http://schemas.openxmlformats.org/package/2006/relationships"><Relationship Id="rId1" Type="http://schemas.openxmlformats.org/officeDocument/2006/relationships/table" Target="../tables/table168.xml"/></Relationships>
</file>

<file path=xl/worksheets/_rels/sheet166.xml.rels><?xml version="1.0" encoding="UTF-8" standalone="yes"?>
<Relationships xmlns="http://schemas.openxmlformats.org/package/2006/relationships"><Relationship Id="rId1" Type="http://schemas.openxmlformats.org/officeDocument/2006/relationships/table" Target="../tables/table169.xml"/></Relationships>
</file>

<file path=xl/worksheets/_rels/sheet167.xml.rels><?xml version="1.0" encoding="UTF-8" standalone="yes"?>
<Relationships xmlns="http://schemas.openxmlformats.org/package/2006/relationships"><Relationship Id="rId1" Type="http://schemas.openxmlformats.org/officeDocument/2006/relationships/table" Target="../tables/table170.xml"/></Relationships>
</file>

<file path=xl/worksheets/_rels/sheet168.xml.rels><?xml version="1.0" encoding="UTF-8" standalone="yes"?>
<Relationships xmlns="http://schemas.openxmlformats.org/package/2006/relationships"><Relationship Id="rId1" Type="http://schemas.openxmlformats.org/officeDocument/2006/relationships/table" Target="../tables/table171.xml"/></Relationships>
</file>

<file path=xl/worksheets/_rels/sheet169.xml.rels><?xml version="1.0" encoding="UTF-8" standalone="yes"?>
<Relationships xmlns="http://schemas.openxmlformats.org/package/2006/relationships"><Relationship Id="rId1" Type="http://schemas.openxmlformats.org/officeDocument/2006/relationships/table" Target="../tables/table172.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170.xml.rels><?xml version="1.0" encoding="UTF-8" standalone="yes"?>
<Relationships xmlns="http://schemas.openxmlformats.org/package/2006/relationships"><Relationship Id="rId1" Type="http://schemas.openxmlformats.org/officeDocument/2006/relationships/table" Target="../tables/table173.xml"/></Relationships>
</file>

<file path=xl/worksheets/_rels/sheet171.xml.rels><?xml version="1.0" encoding="UTF-8" standalone="yes"?>
<Relationships xmlns="http://schemas.openxmlformats.org/package/2006/relationships"><Relationship Id="rId1" Type="http://schemas.openxmlformats.org/officeDocument/2006/relationships/table" Target="../tables/table174.xml"/></Relationships>
</file>

<file path=xl/worksheets/_rels/sheet172.xml.rels><?xml version="1.0" encoding="UTF-8" standalone="yes"?>
<Relationships xmlns="http://schemas.openxmlformats.org/package/2006/relationships"><Relationship Id="rId1" Type="http://schemas.openxmlformats.org/officeDocument/2006/relationships/table" Target="../tables/table175.xml"/></Relationships>
</file>

<file path=xl/worksheets/_rels/sheet173.xml.rels><?xml version="1.0" encoding="UTF-8" standalone="yes"?>
<Relationships xmlns="http://schemas.openxmlformats.org/package/2006/relationships"><Relationship Id="rId1" Type="http://schemas.openxmlformats.org/officeDocument/2006/relationships/table" Target="../tables/table176.xml"/></Relationships>
</file>

<file path=xl/worksheets/_rels/sheet174.xml.rels><?xml version="1.0" encoding="UTF-8" standalone="yes"?>
<Relationships xmlns="http://schemas.openxmlformats.org/package/2006/relationships"><Relationship Id="rId1" Type="http://schemas.openxmlformats.org/officeDocument/2006/relationships/table" Target="../tables/table177.xml"/></Relationships>
</file>

<file path=xl/worksheets/_rels/sheet175.xml.rels><?xml version="1.0" encoding="UTF-8" standalone="yes"?>
<Relationships xmlns="http://schemas.openxmlformats.org/package/2006/relationships"><Relationship Id="rId1" Type="http://schemas.openxmlformats.org/officeDocument/2006/relationships/table" Target="../tables/table178.xml"/></Relationships>
</file>

<file path=xl/worksheets/_rels/sheet176.xml.rels><?xml version="1.0" encoding="UTF-8" standalone="yes"?>
<Relationships xmlns="http://schemas.openxmlformats.org/package/2006/relationships"><Relationship Id="rId1" Type="http://schemas.openxmlformats.org/officeDocument/2006/relationships/table" Target="../tables/table179.xml"/></Relationships>
</file>

<file path=xl/worksheets/_rels/sheet177.xml.rels><?xml version="1.0" encoding="UTF-8" standalone="yes"?>
<Relationships xmlns="http://schemas.openxmlformats.org/package/2006/relationships"><Relationship Id="rId1" Type="http://schemas.openxmlformats.org/officeDocument/2006/relationships/table" Target="../tables/table180.xml"/></Relationships>
</file>

<file path=xl/worksheets/_rels/sheet178.xml.rels><?xml version="1.0" encoding="UTF-8" standalone="yes"?>
<Relationships xmlns="http://schemas.openxmlformats.org/package/2006/relationships"><Relationship Id="rId1" Type="http://schemas.openxmlformats.org/officeDocument/2006/relationships/table" Target="../tables/table181.xml"/></Relationships>
</file>

<file path=xl/worksheets/_rels/sheet179.xml.rels><?xml version="1.0" encoding="UTF-8" standalone="yes"?>
<Relationships xmlns="http://schemas.openxmlformats.org/package/2006/relationships"><Relationship Id="rId1" Type="http://schemas.openxmlformats.org/officeDocument/2006/relationships/table" Target="../tables/table182.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180.xml.rels><?xml version="1.0" encoding="UTF-8" standalone="yes"?>
<Relationships xmlns="http://schemas.openxmlformats.org/package/2006/relationships"><Relationship Id="rId1" Type="http://schemas.openxmlformats.org/officeDocument/2006/relationships/table" Target="../tables/table183.xml"/></Relationships>
</file>

<file path=xl/worksheets/_rels/sheet181.xml.rels><?xml version="1.0" encoding="UTF-8" standalone="yes"?>
<Relationships xmlns="http://schemas.openxmlformats.org/package/2006/relationships"><Relationship Id="rId1" Type="http://schemas.openxmlformats.org/officeDocument/2006/relationships/table" Target="../tables/table184.xml"/></Relationships>
</file>

<file path=xl/worksheets/_rels/sheet182.xml.rels><?xml version="1.0" encoding="UTF-8" standalone="yes"?>
<Relationships xmlns="http://schemas.openxmlformats.org/package/2006/relationships"><Relationship Id="rId1" Type="http://schemas.openxmlformats.org/officeDocument/2006/relationships/table" Target="../tables/table185.xml"/></Relationships>
</file>

<file path=xl/worksheets/_rels/sheet183.xml.rels><?xml version="1.0" encoding="UTF-8" standalone="yes"?>
<Relationships xmlns="http://schemas.openxmlformats.org/package/2006/relationships"><Relationship Id="rId1" Type="http://schemas.openxmlformats.org/officeDocument/2006/relationships/table" Target="../tables/table186.xml"/></Relationships>
</file>

<file path=xl/worksheets/_rels/sheet184.xml.rels><?xml version="1.0" encoding="UTF-8" standalone="yes"?>
<Relationships xmlns="http://schemas.openxmlformats.org/package/2006/relationships"><Relationship Id="rId1" Type="http://schemas.openxmlformats.org/officeDocument/2006/relationships/table" Target="../tables/table187.xml"/></Relationships>
</file>

<file path=xl/worksheets/_rels/sheet185.xml.rels><?xml version="1.0" encoding="UTF-8" standalone="yes"?>
<Relationships xmlns="http://schemas.openxmlformats.org/package/2006/relationships"><Relationship Id="rId1" Type="http://schemas.openxmlformats.org/officeDocument/2006/relationships/table" Target="../tables/table188.xml"/></Relationships>
</file>

<file path=xl/worksheets/_rels/sheet186.xml.rels><?xml version="1.0" encoding="UTF-8" standalone="yes"?>
<Relationships xmlns="http://schemas.openxmlformats.org/package/2006/relationships"><Relationship Id="rId1" Type="http://schemas.openxmlformats.org/officeDocument/2006/relationships/table" Target="../tables/table189.xml"/></Relationships>
</file>

<file path=xl/worksheets/_rels/sheet187.xml.rels><?xml version="1.0" encoding="UTF-8" standalone="yes"?>
<Relationships xmlns="http://schemas.openxmlformats.org/package/2006/relationships"><Relationship Id="rId1" Type="http://schemas.openxmlformats.org/officeDocument/2006/relationships/table" Target="../tables/table190.xml"/></Relationships>
</file>

<file path=xl/worksheets/_rels/sheet188.xml.rels><?xml version="1.0" encoding="UTF-8" standalone="yes"?>
<Relationships xmlns="http://schemas.openxmlformats.org/package/2006/relationships"><Relationship Id="rId1" Type="http://schemas.openxmlformats.org/officeDocument/2006/relationships/table" Target="../tables/table191.xml"/></Relationships>
</file>

<file path=xl/worksheets/_rels/sheet189.xml.rels><?xml version="1.0" encoding="UTF-8" standalone="yes"?>
<Relationships xmlns="http://schemas.openxmlformats.org/package/2006/relationships"><Relationship Id="rId1" Type="http://schemas.openxmlformats.org/officeDocument/2006/relationships/table" Target="../tables/table19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190.xml.rels><?xml version="1.0" encoding="UTF-8" standalone="yes"?>
<Relationships xmlns="http://schemas.openxmlformats.org/package/2006/relationships"><Relationship Id="rId1" Type="http://schemas.openxmlformats.org/officeDocument/2006/relationships/table" Target="../tables/table193.xml"/></Relationships>
</file>

<file path=xl/worksheets/_rels/sheet191.xml.rels><?xml version="1.0" encoding="UTF-8" standalone="yes"?>
<Relationships xmlns="http://schemas.openxmlformats.org/package/2006/relationships"><Relationship Id="rId1" Type="http://schemas.openxmlformats.org/officeDocument/2006/relationships/table" Target="../tables/table194.xml"/></Relationships>
</file>

<file path=xl/worksheets/_rels/sheet192.xml.rels><?xml version="1.0" encoding="UTF-8" standalone="yes"?>
<Relationships xmlns="http://schemas.openxmlformats.org/package/2006/relationships"><Relationship Id="rId1" Type="http://schemas.openxmlformats.org/officeDocument/2006/relationships/table" Target="../tables/table195.xml"/></Relationships>
</file>

<file path=xl/worksheets/_rels/sheet193.xml.rels><?xml version="1.0" encoding="UTF-8" standalone="yes"?>
<Relationships xmlns="http://schemas.openxmlformats.org/package/2006/relationships"><Relationship Id="rId1" Type="http://schemas.openxmlformats.org/officeDocument/2006/relationships/table" Target="../tables/table196.xml"/></Relationships>
</file>

<file path=xl/worksheets/_rels/sheet194.xml.rels><?xml version="1.0" encoding="UTF-8" standalone="yes"?>
<Relationships xmlns="http://schemas.openxmlformats.org/package/2006/relationships"><Relationship Id="rId1" Type="http://schemas.openxmlformats.org/officeDocument/2006/relationships/table" Target="../tables/table197.xml"/></Relationships>
</file>

<file path=xl/worksheets/_rels/sheet195.xml.rels><?xml version="1.0" encoding="UTF-8" standalone="yes"?>
<Relationships xmlns="http://schemas.openxmlformats.org/package/2006/relationships"><Relationship Id="rId1" Type="http://schemas.openxmlformats.org/officeDocument/2006/relationships/table" Target="../tables/table198.xml"/></Relationships>
</file>

<file path=xl/worksheets/_rels/sheet196.xml.rels><?xml version="1.0" encoding="UTF-8" standalone="yes"?>
<Relationships xmlns="http://schemas.openxmlformats.org/package/2006/relationships"><Relationship Id="rId1" Type="http://schemas.openxmlformats.org/officeDocument/2006/relationships/table" Target="../tables/table199.xml"/></Relationships>
</file>

<file path=xl/worksheets/_rels/sheet197.xml.rels><?xml version="1.0" encoding="UTF-8" standalone="yes"?>
<Relationships xmlns="http://schemas.openxmlformats.org/package/2006/relationships"><Relationship Id="rId1" Type="http://schemas.openxmlformats.org/officeDocument/2006/relationships/table" Target="../tables/table200.xml"/></Relationships>
</file>

<file path=xl/worksheets/_rels/sheet198.xml.rels><?xml version="1.0" encoding="UTF-8" standalone="yes"?>
<Relationships xmlns="http://schemas.openxmlformats.org/package/2006/relationships"><Relationship Id="rId2" Type="http://schemas.openxmlformats.org/officeDocument/2006/relationships/table" Target="../tables/table201.xml"/><Relationship Id="rId1" Type="http://schemas.openxmlformats.org/officeDocument/2006/relationships/printerSettings" Target="../printerSettings/printerSettings59.bin"/></Relationships>
</file>

<file path=xl/worksheets/_rels/sheet199.xml.rels><?xml version="1.0" encoding="UTF-8" standalone="yes"?>
<Relationships xmlns="http://schemas.openxmlformats.org/package/2006/relationships"><Relationship Id="rId1" Type="http://schemas.openxmlformats.org/officeDocument/2006/relationships/table" Target="../tables/table20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8.bin"/></Relationships>
</file>

<file path=xl/worksheets/_rels/sheet200.xml.rels><?xml version="1.0" encoding="UTF-8" standalone="yes"?>
<Relationships xmlns="http://schemas.openxmlformats.org/package/2006/relationships"><Relationship Id="rId1" Type="http://schemas.openxmlformats.org/officeDocument/2006/relationships/table" Target="../tables/table203.xml"/></Relationships>
</file>

<file path=xl/worksheets/_rels/sheet201.xml.rels><?xml version="1.0" encoding="UTF-8" standalone="yes"?>
<Relationships xmlns="http://schemas.openxmlformats.org/package/2006/relationships"><Relationship Id="rId1" Type="http://schemas.openxmlformats.org/officeDocument/2006/relationships/table" Target="../tables/table204.xml"/></Relationships>
</file>

<file path=xl/worksheets/_rels/sheet202.xml.rels><?xml version="1.0" encoding="UTF-8" standalone="yes"?>
<Relationships xmlns="http://schemas.openxmlformats.org/package/2006/relationships"><Relationship Id="rId1" Type="http://schemas.openxmlformats.org/officeDocument/2006/relationships/table" Target="../tables/table205.xml"/></Relationships>
</file>

<file path=xl/worksheets/_rels/sheet203.xml.rels><?xml version="1.0" encoding="UTF-8" standalone="yes"?>
<Relationships xmlns="http://schemas.openxmlformats.org/package/2006/relationships"><Relationship Id="rId1" Type="http://schemas.openxmlformats.org/officeDocument/2006/relationships/table" Target="../tables/table206.xml"/></Relationships>
</file>

<file path=xl/worksheets/_rels/sheet204.xml.rels><?xml version="1.0" encoding="UTF-8" standalone="yes"?>
<Relationships xmlns="http://schemas.openxmlformats.org/package/2006/relationships"><Relationship Id="rId1" Type="http://schemas.openxmlformats.org/officeDocument/2006/relationships/table" Target="../tables/table207.xml"/></Relationships>
</file>

<file path=xl/worksheets/_rels/sheet205.xml.rels><?xml version="1.0" encoding="UTF-8" standalone="yes"?>
<Relationships xmlns="http://schemas.openxmlformats.org/package/2006/relationships"><Relationship Id="rId2" Type="http://schemas.openxmlformats.org/officeDocument/2006/relationships/table" Target="../tables/table208.xml"/><Relationship Id="rId1" Type="http://schemas.openxmlformats.org/officeDocument/2006/relationships/printerSettings" Target="../printerSettings/printerSettings6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27.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13.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14.bin"/></Relationships>
</file>

<file path=xl/worksheets/_rels/sheet29.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38.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printerSettings" Target="../printerSettings/printerSettings15.bin"/></Relationships>
</file>

<file path=xl/worksheets/_rels/sheet39.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table" Target="../tables/table43.xml"/><Relationship Id="rId1" Type="http://schemas.openxmlformats.org/officeDocument/2006/relationships/printerSettings" Target="../printerSettings/printerSettings16.bin"/></Relationships>
</file>

<file path=xl/worksheets/_rels/sheet41.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46.xml.rels><?xml version="1.0" encoding="UTF-8" standalone="yes"?>
<Relationships xmlns="http://schemas.openxmlformats.org/package/2006/relationships"><Relationship Id="rId2" Type="http://schemas.openxmlformats.org/officeDocument/2006/relationships/table" Target="../tables/table49.xml"/><Relationship Id="rId1" Type="http://schemas.openxmlformats.org/officeDocument/2006/relationships/printerSettings" Target="../printerSettings/printerSettings17.bin"/></Relationships>
</file>

<file path=xl/worksheets/_rels/sheet47.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48.xml.rels><?xml version="1.0" encoding="UTF-8" standalone="yes"?>
<Relationships xmlns="http://schemas.openxmlformats.org/package/2006/relationships"><Relationship Id="rId2" Type="http://schemas.openxmlformats.org/officeDocument/2006/relationships/table" Target="../tables/table51.xml"/><Relationship Id="rId1" Type="http://schemas.openxmlformats.org/officeDocument/2006/relationships/printerSettings" Target="../printerSettings/printerSettings18.bin"/></Relationships>
</file>

<file path=xl/worksheets/_rels/sheet49.xml.rels><?xml version="1.0" encoding="UTF-8" standalone="yes"?>
<Relationships xmlns="http://schemas.openxmlformats.org/package/2006/relationships"><Relationship Id="rId2" Type="http://schemas.openxmlformats.org/officeDocument/2006/relationships/table" Target="../tables/table52.xml"/><Relationship Id="rId1"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table" Target="../tables/table53.xml"/><Relationship Id="rId1" Type="http://schemas.openxmlformats.org/officeDocument/2006/relationships/printerSettings" Target="../printerSettings/printerSettings20.bin"/></Relationships>
</file>

<file path=xl/worksheets/_rels/sheet51.xml.rels><?xml version="1.0" encoding="UTF-8" standalone="yes"?>
<Relationships xmlns="http://schemas.openxmlformats.org/package/2006/relationships"><Relationship Id="rId2" Type="http://schemas.openxmlformats.org/officeDocument/2006/relationships/table" Target="../tables/table54.xml"/><Relationship Id="rId1" Type="http://schemas.openxmlformats.org/officeDocument/2006/relationships/printerSettings" Target="../printerSettings/printerSettings21.bin"/></Relationships>
</file>

<file path=xl/worksheets/_rels/sheet52.xml.rels><?xml version="1.0" encoding="UTF-8" standalone="yes"?>
<Relationships xmlns="http://schemas.openxmlformats.org/package/2006/relationships"><Relationship Id="rId2" Type="http://schemas.openxmlformats.org/officeDocument/2006/relationships/table" Target="../tables/table55.xml"/><Relationship Id="rId1" Type="http://schemas.openxmlformats.org/officeDocument/2006/relationships/printerSettings" Target="../printerSettings/printerSettings22.bin"/></Relationships>
</file>

<file path=xl/worksheets/_rels/sheet53.xml.rels><?xml version="1.0" encoding="UTF-8" standalone="yes"?>
<Relationships xmlns="http://schemas.openxmlformats.org/package/2006/relationships"><Relationship Id="rId2" Type="http://schemas.openxmlformats.org/officeDocument/2006/relationships/table" Target="../tables/table56.xml"/><Relationship Id="rId1" Type="http://schemas.openxmlformats.org/officeDocument/2006/relationships/printerSettings" Target="../printerSettings/printerSettings23.bin"/></Relationships>
</file>

<file path=xl/worksheets/_rels/sheet54.xml.rels><?xml version="1.0" encoding="UTF-8" standalone="yes"?>
<Relationships xmlns="http://schemas.openxmlformats.org/package/2006/relationships"><Relationship Id="rId2" Type="http://schemas.openxmlformats.org/officeDocument/2006/relationships/table" Target="../tables/table57.xml"/><Relationship Id="rId1" Type="http://schemas.openxmlformats.org/officeDocument/2006/relationships/printerSettings" Target="../printerSettings/printerSettings24.bin"/></Relationships>
</file>

<file path=xl/worksheets/_rels/sheet55.xml.rels><?xml version="1.0" encoding="UTF-8" standalone="yes"?>
<Relationships xmlns="http://schemas.openxmlformats.org/package/2006/relationships"><Relationship Id="rId2" Type="http://schemas.openxmlformats.org/officeDocument/2006/relationships/table" Target="../tables/table58.xml"/><Relationship Id="rId1" Type="http://schemas.openxmlformats.org/officeDocument/2006/relationships/printerSettings" Target="../printerSettings/printerSettings25.bin"/></Relationships>
</file>

<file path=xl/worksheets/_rels/sheet56.xml.rels><?xml version="1.0" encoding="UTF-8" standalone="yes"?>
<Relationships xmlns="http://schemas.openxmlformats.org/package/2006/relationships"><Relationship Id="rId2" Type="http://schemas.openxmlformats.org/officeDocument/2006/relationships/table" Target="../tables/table59.xml"/><Relationship Id="rId1" Type="http://schemas.openxmlformats.org/officeDocument/2006/relationships/printerSettings" Target="../printerSettings/printerSettings26.bin"/></Relationships>
</file>

<file path=xl/worksheets/_rels/sheet57.xml.rels><?xml version="1.0" encoding="UTF-8" standalone="yes"?>
<Relationships xmlns="http://schemas.openxmlformats.org/package/2006/relationships"><Relationship Id="rId2" Type="http://schemas.openxmlformats.org/officeDocument/2006/relationships/table" Target="../tables/table60.xml"/><Relationship Id="rId1" Type="http://schemas.openxmlformats.org/officeDocument/2006/relationships/printerSettings" Target="../printerSettings/printerSettings27.bin"/></Relationships>
</file>

<file path=xl/worksheets/_rels/sheet58.xml.rels><?xml version="1.0" encoding="UTF-8" standalone="yes"?>
<Relationships xmlns="http://schemas.openxmlformats.org/package/2006/relationships"><Relationship Id="rId2" Type="http://schemas.openxmlformats.org/officeDocument/2006/relationships/table" Target="../tables/table61.xml"/><Relationship Id="rId1" Type="http://schemas.openxmlformats.org/officeDocument/2006/relationships/printerSettings" Target="../printerSettings/printerSettings28.bin"/></Relationships>
</file>

<file path=xl/worksheets/_rels/sheet59.xml.rels><?xml version="1.0" encoding="UTF-8" standalone="yes"?>
<Relationships xmlns="http://schemas.openxmlformats.org/package/2006/relationships"><Relationship Id="rId1" Type="http://schemas.openxmlformats.org/officeDocument/2006/relationships/table" Target="../tables/table6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60.xml.rels><?xml version="1.0" encoding="UTF-8" standalone="yes"?>
<Relationships xmlns="http://schemas.openxmlformats.org/package/2006/relationships"><Relationship Id="rId2" Type="http://schemas.openxmlformats.org/officeDocument/2006/relationships/table" Target="../tables/table63.xml"/><Relationship Id="rId1" Type="http://schemas.openxmlformats.org/officeDocument/2006/relationships/printerSettings" Target="../printerSettings/printerSettings29.bin"/></Relationships>
</file>

<file path=xl/worksheets/_rels/sheet61.xml.rels><?xml version="1.0" encoding="UTF-8" standalone="yes"?>
<Relationships xmlns="http://schemas.openxmlformats.org/package/2006/relationships"><Relationship Id="rId1" Type="http://schemas.openxmlformats.org/officeDocument/2006/relationships/table" Target="../tables/table64.xml"/></Relationships>
</file>

<file path=xl/worksheets/_rels/sheet62.xml.rels><?xml version="1.0" encoding="UTF-8" standalone="yes"?>
<Relationships xmlns="http://schemas.openxmlformats.org/package/2006/relationships"><Relationship Id="rId2" Type="http://schemas.openxmlformats.org/officeDocument/2006/relationships/table" Target="../tables/table65.xml"/><Relationship Id="rId1" Type="http://schemas.openxmlformats.org/officeDocument/2006/relationships/printerSettings" Target="../printerSettings/printerSettings30.bin"/></Relationships>
</file>

<file path=xl/worksheets/_rels/sheet63.xml.rels><?xml version="1.0" encoding="UTF-8" standalone="yes"?>
<Relationships xmlns="http://schemas.openxmlformats.org/package/2006/relationships"><Relationship Id="rId2" Type="http://schemas.openxmlformats.org/officeDocument/2006/relationships/table" Target="../tables/table66.xml"/><Relationship Id="rId1" Type="http://schemas.openxmlformats.org/officeDocument/2006/relationships/printerSettings" Target="../printerSettings/printerSettings31.bin"/></Relationships>
</file>

<file path=xl/worksheets/_rels/sheet64.xml.rels><?xml version="1.0" encoding="UTF-8" standalone="yes"?>
<Relationships xmlns="http://schemas.openxmlformats.org/package/2006/relationships"><Relationship Id="rId2" Type="http://schemas.openxmlformats.org/officeDocument/2006/relationships/table" Target="../tables/table67.xml"/><Relationship Id="rId1" Type="http://schemas.openxmlformats.org/officeDocument/2006/relationships/printerSettings" Target="../printerSettings/printerSettings32.bin"/></Relationships>
</file>

<file path=xl/worksheets/_rels/sheet65.xml.rels><?xml version="1.0" encoding="UTF-8" standalone="yes"?>
<Relationships xmlns="http://schemas.openxmlformats.org/package/2006/relationships"><Relationship Id="rId2" Type="http://schemas.openxmlformats.org/officeDocument/2006/relationships/table" Target="../tables/table68.xml"/><Relationship Id="rId1" Type="http://schemas.openxmlformats.org/officeDocument/2006/relationships/printerSettings" Target="../printerSettings/printerSettings33.bin"/></Relationships>
</file>

<file path=xl/worksheets/_rels/sheet66.xml.rels><?xml version="1.0" encoding="UTF-8" standalone="yes"?>
<Relationships xmlns="http://schemas.openxmlformats.org/package/2006/relationships"><Relationship Id="rId2" Type="http://schemas.openxmlformats.org/officeDocument/2006/relationships/table" Target="../tables/table69.xml"/><Relationship Id="rId1" Type="http://schemas.openxmlformats.org/officeDocument/2006/relationships/printerSettings" Target="../printerSettings/printerSettings34.bin"/></Relationships>
</file>

<file path=xl/worksheets/_rels/sheet67.xml.rels><?xml version="1.0" encoding="UTF-8" standalone="yes"?>
<Relationships xmlns="http://schemas.openxmlformats.org/package/2006/relationships"><Relationship Id="rId1" Type="http://schemas.openxmlformats.org/officeDocument/2006/relationships/table" Target="../tables/table70.xml"/></Relationships>
</file>

<file path=xl/worksheets/_rels/sheet68.xml.rels><?xml version="1.0" encoding="UTF-8" standalone="yes"?>
<Relationships xmlns="http://schemas.openxmlformats.org/package/2006/relationships"><Relationship Id="rId1" Type="http://schemas.openxmlformats.org/officeDocument/2006/relationships/table" Target="../tables/table71.xml"/></Relationships>
</file>

<file path=xl/worksheets/_rels/sheet69.xml.rels><?xml version="1.0" encoding="UTF-8" standalone="yes"?>
<Relationships xmlns="http://schemas.openxmlformats.org/package/2006/relationships"><Relationship Id="rId1" Type="http://schemas.openxmlformats.org/officeDocument/2006/relationships/table" Target="../tables/table7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70.xml.rels><?xml version="1.0" encoding="UTF-8" standalone="yes"?>
<Relationships xmlns="http://schemas.openxmlformats.org/package/2006/relationships"><Relationship Id="rId1" Type="http://schemas.openxmlformats.org/officeDocument/2006/relationships/table" Target="../tables/table73.xml"/></Relationships>
</file>

<file path=xl/worksheets/_rels/sheet71.xml.rels><?xml version="1.0" encoding="UTF-8" standalone="yes"?>
<Relationships xmlns="http://schemas.openxmlformats.org/package/2006/relationships"><Relationship Id="rId1" Type="http://schemas.openxmlformats.org/officeDocument/2006/relationships/table" Target="../tables/table74.xml"/></Relationships>
</file>

<file path=xl/worksheets/_rels/sheet72.xml.rels><?xml version="1.0" encoding="UTF-8" standalone="yes"?>
<Relationships xmlns="http://schemas.openxmlformats.org/package/2006/relationships"><Relationship Id="rId1" Type="http://schemas.openxmlformats.org/officeDocument/2006/relationships/table" Target="../tables/table75.xml"/></Relationships>
</file>

<file path=xl/worksheets/_rels/sheet73.xml.rels><?xml version="1.0" encoding="UTF-8" standalone="yes"?>
<Relationships xmlns="http://schemas.openxmlformats.org/package/2006/relationships"><Relationship Id="rId1" Type="http://schemas.openxmlformats.org/officeDocument/2006/relationships/table" Target="../tables/table76.xml"/></Relationships>
</file>

<file path=xl/worksheets/_rels/sheet74.xml.rels><?xml version="1.0" encoding="UTF-8" standalone="yes"?>
<Relationships xmlns="http://schemas.openxmlformats.org/package/2006/relationships"><Relationship Id="rId1" Type="http://schemas.openxmlformats.org/officeDocument/2006/relationships/table" Target="../tables/table77.xml"/></Relationships>
</file>

<file path=xl/worksheets/_rels/sheet75.xml.rels><?xml version="1.0" encoding="UTF-8" standalone="yes"?>
<Relationships xmlns="http://schemas.openxmlformats.org/package/2006/relationships"><Relationship Id="rId1" Type="http://schemas.openxmlformats.org/officeDocument/2006/relationships/table" Target="../tables/table78.xml"/></Relationships>
</file>

<file path=xl/worksheets/_rels/sheet76.xml.rels><?xml version="1.0" encoding="UTF-8" standalone="yes"?>
<Relationships xmlns="http://schemas.openxmlformats.org/package/2006/relationships"><Relationship Id="rId1" Type="http://schemas.openxmlformats.org/officeDocument/2006/relationships/table" Target="../tables/table79.xml"/></Relationships>
</file>

<file path=xl/worksheets/_rels/sheet77.xml.rels><?xml version="1.0" encoding="UTF-8" standalone="yes"?>
<Relationships xmlns="http://schemas.openxmlformats.org/package/2006/relationships"><Relationship Id="rId2" Type="http://schemas.openxmlformats.org/officeDocument/2006/relationships/table" Target="../tables/table80.xml"/><Relationship Id="rId1" Type="http://schemas.openxmlformats.org/officeDocument/2006/relationships/printerSettings" Target="../printerSettings/printerSettings35.bin"/></Relationships>
</file>

<file path=xl/worksheets/_rels/sheet78.xml.rels><?xml version="1.0" encoding="UTF-8" standalone="yes"?>
<Relationships xmlns="http://schemas.openxmlformats.org/package/2006/relationships"><Relationship Id="rId2" Type="http://schemas.openxmlformats.org/officeDocument/2006/relationships/table" Target="../tables/table81.xml"/><Relationship Id="rId1" Type="http://schemas.openxmlformats.org/officeDocument/2006/relationships/printerSettings" Target="../printerSettings/printerSettings36.bin"/></Relationships>
</file>

<file path=xl/worksheets/_rels/sheet79.xml.rels><?xml version="1.0" encoding="UTF-8" standalone="yes"?>
<Relationships xmlns="http://schemas.openxmlformats.org/package/2006/relationships"><Relationship Id="rId2" Type="http://schemas.openxmlformats.org/officeDocument/2006/relationships/table" Target="../tables/table82.xml"/><Relationship Id="rId1" Type="http://schemas.openxmlformats.org/officeDocument/2006/relationships/printerSettings" Target="../printerSettings/printerSettings37.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80.xml.rels><?xml version="1.0" encoding="UTF-8" standalone="yes"?>
<Relationships xmlns="http://schemas.openxmlformats.org/package/2006/relationships"><Relationship Id="rId2" Type="http://schemas.openxmlformats.org/officeDocument/2006/relationships/table" Target="../tables/table83.xml"/><Relationship Id="rId1" Type="http://schemas.openxmlformats.org/officeDocument/2006/relationships/printerSettings" Target="../printerSettings/printerSettings38.bin"/></Relationships>
</file>

<file path=xl/worksheets/_rels/sheet81.xml.rels><?xml version="1.0" encoding="UTF-8" standalone="yes"?>
<Relationships xmlns="http://schemas.openxmlformats.org/package/2006/relationships"><Relationship Id="rId2" Type="http://schemas.openxmlformats.org/officeDocument/2006/relationships/table" Target="../tables/table84.xml"/><Relationship Id="rId1" Type="http://schemas.openxmlformats.org/officeDocument/2006/relationships/printerSettings" Target="../printerSettings/printerSettings39.bin"/></Relationships>
</file>

<file path=xl/worksheets/_rels/sheet82.xml.rels><?xml version="1.0" encoding="UTF-8" standalone="yes"?>
<Relationships xmlns="http://schemas.openxmlformats.org/package/2006/relationships"><Relationship Id="rId2" Type="http://schemas.openxmlformats.org/officeDocument/2006/relationships/table" Target="../tables/table85.xml"/><Relationship Id="rId1" Type="http://schemas.openxmlformats.org/officeDocument/2006/relationships/printerSettings" Target="../printerSettings/printerSettings40.bin"/></Relationships>
</file>

<file path=xl/worksheets/_rels/sheet83.xml.rels><?xml version="1.0" encoding="UTF-8" standalone="yes"?>
<Relationships xmlns="http://schemas.openxmlformats.org/package/2006/relationships"><Relationship Id="rId2" Type="http://schemas.openxmlformats.org/officeDocument/2006/relationships/table" Target="../tables/table86.xml"/><Relationship Id="rId1" Type="http://schemas.openxmlformats.org/officeDocument/2006/relationships/printerSettings" Target="../printerSettings/printerSettings41.bin"/></Relationships>
</file>

<file path=xl/worksheets/_rels/sheet84.xml.rels><?xml version="1.0" encoding="UTF-8" standalone="yes"?>
<Relationships xmlns="http://schemas.openxmlformats.org/package/2006/relationships"><Relationship Id="rId1" Type="http://schemas.openxmlformats.org/officeDocument/2006/relationships/table" Target="../tables/table87.xml"/></Relationships>
</file>

<file path=xl/worksheets/_rels/sheet85.xml.rels><?xml version="1.0" encoding="UTF-8" standalone="yes"?>
<Relationships xmlns="http://schemas.openxmlformats.org/package/2006/relationships"><Relationship Id="rId1" Type="http://schemas.openxmlformats.org/officeDocument/2006/relationships/table" Target="../tables/table88.xml"/></Relationships>
</file>

<file path=xl/worksheets/_rels/sheet86.xml.rels><?xml version="1.0" encoding="UTF-8" standalone="yes"?>
<Relationships xmlns="http://schemas.openxmlformats.org/package/2006/relationships"><Relationship Id="rId1" Type="http://schemas.openxmlformats.org/officeDocument/2006/relationships/table" Target="../tables/table89.xml"/></Relationships>
</file>

<file path=xl/worksheets/_rels/sheet87.xml.rels><?xml version="1.0" encoding="UTF-8" standalone="yes"?>
<Relationships xmlns="http://schemas.openxmlformats.org/package/2006/relationships"><Relationship Id="rId1" Type="http://schemas.openxmlformats.org/officeDocument/2006/relationships/table" Target="../tables/table90.xml"/></Relationships>
</file>

<file path=xl/worksheets/_rels/sheet88.xml.rels><?xml version="1.0" encoding="UTF-8" standalone="yes"?>
<Relationships xmlns="http://schemas.openxmlformats.org/package/2006/relationships"><Relationship Id="rId1" Type="http://schemas.openxmlformats.org/officeDocument/2006/relationships/table" Target="../tables/table91.xml"/></Relationships>
</file>

<file path=xl/worksheets/_rels/sheet89.xml.rels><?xml version="1.0" encoding="UTF-8" standalone="yes"?>
<Relationships xmlns="http://schemas.openxmlformats.org/package/2006/relationships"><Relationship Id="rId1" Type="http://schemas.openxmlformats.org/officeDocument/2006/relationships/table" Target="../tables/table9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90.xml.rels><?xml version="1.0" encoding="UTF-8" standalone="yes"?>
<Relationships xmlns="http://schemas.openxmlformats.org/package/2006/relationships"><Relationship Id="rId2" Type="http://schemas.openxmlformats.org/officeDocument/2006/relationships/table" Target="../tables/table93.xml"/><Relationship Id="rId1" Type="http://schemas.openxmlformats.org/officeDocument/2006/relationships/printerSettings" Target="../printerSettings/printerSettings42.bin"/></Relationships>
</file>

<file path=xl/worksheets/_rels/sheet91.xml.rels><?xml version="1.0" encoding="UTF-8" standalone="yes"?>
<Relationships xmlns="http://schemas.openxmlformats.org/package/2006/relationships"><Relationship Id="rId1" Type="http://schemas.openxmlformats.org/officeDocument/2006/relationships/table" Target="../tables/table94.xml"/></Relationships>
</file>

<file path=xl/worksheets/_rels/sheet92.xml.rels><?xml version="1.0" encoding="UTF-8" standalone="yes"?>
<Relationships xmlns="http://schemas.openxmlformats.org/package/2006/relationships"><Relationship Id="rId1" Type="http://schemas.openxmlformats.org/officeDocument/2006/relationships/table" Target="../tables/table95.xml"/></Relationships>
</file>

<file path=xl/worksheets/_rels/sheet93.xml.rels><?xml version="1.0" encoding="UTF-8" standalone="yes"?>
<Relationships xmlns="http://schemas.openxmlformats.org/package/2006/relationships"><Relationship Id="rId1" Type="http://schemas.openxmlformats.org/officeDocument/2006/relationships/table" Target="../tables/table96.xml"/></Relationships>
</file>

<file path=xl/worksheets/_rels/sheet94.xml.rels><?xml version="1.0" encoding="UTF-8" standalone="yes"?>
<Relationships xmlns="http://schemas.openxmlformats.org/package/2006/relationships"><Relationship Id="rId1" Type="http://schemas.openxmlformats.org/officeDocument/2006/relationships/table" Target="../tables/table97.xml"/></Relationships>
</file>

<file path=xl/worksheets/_rels/sheet95.xml.rels><?xml version="1.0" encoding="UTF-8" standalone="yes"?>
<Relationships xmlns="http://schemas.openxmlformats.org/package/2006/relationships"><Relationship Id="rId2" Type="http://schemas.openxmlformats.org/officeDocument/2006/relationships/table" Target="../tables/table98.xml"/><Relationship Id="rId1" Type="http://schemas.openxmlformats.org/officeDocument/2006/relationships/printerSettings" Target="../printerSettings/printerSettings43.bin"/></Relationships>
</file>

<file path=xl/worksheets/_rels/sheet96.xml.rels><?xml version="1.0" encoding="UTF-8" standalone="yes"?>
<Relationships xmlns="http://schemas.openxmlformats.org/package/2006/relationships"><Relationship Id="rId1" Type="http://schemas.openxmlformats.org/officeDocument/2006/relationships/table" Target="../tables/table99.xml"/></Relationships>
</file>

<file path=xl/worksheets/_rels/sheet97.xml.rels><?xml version="1.0" encoding="UTF-8" standalone="yes"?>
<Relationships xmlns="http://schemas.openxmlformats.org/package/2006/relationships"><Relationship Id="rId2" Type="http://schemas.openxmlformats.org/officeDocument/2006/relationships/table" Target="../tables/table100.xml"/><Relationship Id="rId1" Type="http://schemas.openxmlformats.org/officeDocument/2006/relationships/printerSettings" Target="../printerSettings/printerSettings44.bin"/></Relationships>
</file>

<file path=xl/worksheets/_rels/sheet98.xml.rels><?xml version="1.0" encoding="UTF-8" standalone="yes"?>
<Relationships xmlns="http://schemas.openxmlformats.org/package/2006/relationships"><Relationship Id="rId1" Type="http://schemas.openxmlformats.org/officeDocument/2006/relationships/table" Target="../tables/table101.xml"/></Relationships>
</file>

<file path=xl/worksheets/_rels/sheet99.xml.rels><?xml version="1.0" encoding="UTF-8" standalone="yes"?>
<Relationships xmlns="http://schemas.openxmlformats.org/package/2006/relationships"><Relationship Id="rId1" Type="http://schemas.openxmlformats.org/officeDocument/2006/relationships/table" Target="../tables/table10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173"/>
  <sheetViews>
    <sheetView tabSelected="1" zoomScaleNormal="100" workbookViewId="0">
      <pane ySplit="4" topLeftCell="A5" activePane="bottomLeft" state="frozen"/>
      <selection sqref="A1:B1"/>
      <selection pane="bottomLeft" activeCell="A64" sqref="A64"/>
    </sheetView>
  </sheetViews>
  <sheetFormatPr defaultRowHeight="15"/>
  <cols>
    <col min="1" max="1" width="13.42578125" customWidth="1"/>
    <col min="2" max="2" width="19.42578125" customWidth="1"/>
    <col min="3" max="3" width="50.7109375" customWidth="1"/>
    <col min="4" max="4" width="56.42578125" style="15" bestFit="1" customWidth="1"/>
    <col min="5" max="5" width="11.5703125" customWidth="1"/>
    <col min="6" max="6" width="48" style="15" bestFit="1" customWidth="1"/>
  </cols>
  <sheetData>
    <row r="1" spans="1:6" s="1" customFormat="1" ht="19.899999999999999" customHeight="1">
      <c r="A1" s="179" t="s">
        <v>129</v>
      </c>
      <c r="B1" s="180"/>
      <c r="C1" s="185" t="s">
        <v>130</v>
      </c>
      <c r="D1" s="186"/>
      <c r="E1" s="191"/>
      <c r="F1" s="194"/>
    </row>
    <row r="2" spans="1:6" s="1" customFormat="1" ht="19.899999999999999" customHeight="1">
      <c r="A2" s="181"/>
      <c r="B2" s="182"/>
      <c r="C2" s="187"/>
      <c r="D2" s="188"/>
      <c r="E2" s="192"/>
      <c r="F2" s="195"/>
    </row>
    <row r="3" spans="1:6" s="1" customFormat="1" ht="31.15" customHeight="1" thickBot="1">
      <c r="A3" s="183"/>
      <c r="B3" s="184"/>
      <c r="C3" s="189"/>
      <c r="D3" s="190"/>
      <c r="E3" s="193"/>
      <c r="F3" s="196"/>
    </row>
    <row r="4" spans="1:6" s="4" customFormat="1" ht="29.25" thickBot="1">
      <c r="A4" s="2" t="s">
        <v>1</v>
      </c>
      <c r="B4" s="2" t="s">
        <v>18</v>
      </c>
      <c r="C4" s="3" t="s">
        <v>2</v>
      </c>
      <c r="D4" s="3" t="s">
        <v>21</v>
      </c>
      <c r="E4" s="2" t="s">
        <v>3</v>
      </c>
      <c r="F4" s="2" t="s">
        <v>22</v>
      </c>
    </row>
    <row r="5" spans="1:6" ht="26.25">
      <c r="A5" s="173" t="s">
        <v>131</v>
      </c>
      <c r="B5" s="174"/>
      <c r="C5" s="174"/>
      <c r="D5" s="174"/>
      <c r="E5" s="174"/>
      <c r="F5" s="175"/>
    </row>
    <row r="6" spans="1:6" ht="30">
      <c r="A6" s="12" t="s">
        <v>91</v>
      </c>
      <c r="B6" s="6" t="s">
        <v>127</v>
      </c>
      <c r="C6" s="16" t="s">
        <v>464</v>
      </c>
      <c r="D6" s="123" t="s">
        <v>128</v>
      </c>
      <c r="E6" s="13"/>
      <c r="F6" s="45"/>
    </row>
    <row r="7" spans="1:6" ht="21">
      <c r="A7" s="12" t="s">
        <v>92</v>
      </c>
      <c r="B7" s="6"/>
      <c r="C7" s="16" t="s">
        <v>132</v>
      </c>
      <c r="D7" s="123"/>
      <c r="E7" s="5"/>
      <c r="F7" s="45"/>
    </row>
    <row r="8" spans="1:6" ht="21">
      <c r="A8" s="12" t="s">
        <v>93</v>
      </c>
      <c r="B8" s="6"/>
      <c r="C8" s="16" t="s">
        <v>133</v>
      </c>
      <c r="D8" s="123"/>
      <c r="E8" s="5"/>
      <c r="F8" s="45"/>
    </row>
    <row r="9" spans="1:6" ht="21">
      <c r="A9" s="12" t="s">
        <v>94</v>
      </c>
      <c r="B9" s="6"/>
      <c r="C9" s="16" t="s">
        <v>134</v>
      </c>
      <c r="D9" s="123"/>
      <c r="E9" s="5"/>
      <c r="F9" s="45"/>
    </row>
    <row r="10" spans="1:6" s="41" customFormat="1" ht="21">
      <c r="A10" s="12" t="s">
        <v>95</v>
      </c>
      <c r="B10" s="51"/>
      <c r="C10" s="16" t="s">
        <v>135</v>
      </c>
      <c r="D10" s="52"/>
      <c r="E10" s="5"/>
      <c r="F10" s="45"/>
    </row>
    <row r="11" spans="1:6" s="41" customFormat="1" ht="21">
      <c r="A11" s="12" t="s">
        <v>96</v>
      </c>
      <c r="B11" s="51"/>
      <c r="C11" s="16" t="s">
        <v>136</v>
      </c>
      <c r="D11" s="105"/>
      <c r="E11" s="5"/>
      <c r="F11" s="45"/>
    </row>
    <row r="12" spans="1:6" s="41" customFormat="1" ht="21">
      <c r="A12" s="12" t="s">
        <v>97</v>
      </c>
      <c r="B12" s="51"/>
      <c r="C12" s="16" t="s">
        <v>137</v>
      </c>
      <c r="D12" s="105"/>
      <c r="E12" s="5"/>
      <c r="F12" s="45"/>
    </row>
    <row r="13" spans="1:6" s="41" customFormat="1" ht="21">
      <c r="A13" s="12" t="s">
        <v>98</v>
      </c>
      <c r="B13" s="51"/>
      <c r="C13" s="16" t="s">
        <v>138</v>
      </c>
      <c r="D13" s="105"/>
      <c r="E13" s="5"/>
      <c r="F13" s="45"/>
    </row>
    <row r="14" spans="1:6" s="41" customFormat="1" ht="30">
      <c r="A14" s="12" t="s">
        <v>99</v>
      </c>
      <c r="B14" s="51"/>
      <c r="C14" s="16" t="s">
        <v>487</v>
      </c>
      <c r="D14" s="105" t="s">
        <v>628</v>
      </c>
      <c r="E14" s="5"/>
      <c r="F14" s="45"/>
    </row>
    <row r="15" spans="1:6" s="41" customFormat="1" ht="30">
      <c r="A15" s="12" t="s">
        <v>23</v>
      </c>
      <c r="B15" s="51"/>
      <c r="C15" s="16" t="s">
        <v>488</v>
      </c>
      <c r="D15" s="105" t="s">
        <v>139</v>
      </c>
      <c r="E15" s="5"/>
      <c r="F15" s="45"/>
    </row>
    <row r="16" spans="1:6" s="41" customFormat="1" ht="30">
      <c r="A16" s="12" t="s">
        <v>24</v>
      </c>
      <c r="B16" s="51"/>
      <c r="C16" s="16" t="s">
        <v>491</v>
      </c>
      <c r="D16" s="105" t="s">
        <v>140</v>
      </c>
      <c r="E16" s="5"/>
      <c r="F16" s="45"/>
    </row>
    <row r="17" spans="1:6" s="41" customFormat="1" ht="30">
      <c r="A17" s="12" t="s">
        <v>25</v>
      </c>
      <c r="B17" s="51"/>
      <c r="C17" s="16" t="s">
        <v>141</v>
      </c>
      <c r="D17" s="105" t="s">
        <v>142</v>
      </c>
      <c r="E17" s="5"/>
      <c r="F17" s="45"/>
    </row>
    <row r="18" spans="1:6" s="41" customFormat="1" ht="30">
      <c r="A18" s="12" t="s">
        <v>26</v>
      </c>
      <c r="B18" s="106"/>
      <c r="C18" s="16" t="s">
        <v>143</v>
      </c>
      <c r="D18" s="105" t="s">
        <v>144</v>
      </c>
      <c r="E18" s="5"/>
      <c r="F18" s="45"/>
    </row>
    <row r="19" spans="1:6" s="41" customFormat="1" ht="30">
      <c r="A19" s="12" t="s">
        <v>27</v>
      </c>
      <c r="B19" s="51"/>
      <c r="C19" s="16" t="s">
        <v>145</v>
      </c>
      <c r="D19" s="105" t="s">
        <v>144</v>
      </c>
      <c r="E19" s="5"/>
      <c r="F19" s="45"/>
    </row>
    <row r="20" spans="1:6" ht="45">
      <c r="A20" s="12" t="s">
        <v>28</v>
      </c>
      <c r="B20" s="6"/>
      <c r="C20" s="16" t="s">
        <v>146</v>
      </c>
      <c r="D20" s="105" t="s">
        <v>147</v>
      </c>
      <c r="E20" s="5"/>
      <c r="F20" s="45"/>
    </row>
    <row r="21" spans="1:6" ht="30">
      <c r="A21" s="12" t="s">
        <v>29</v>
      </c>
      <c r="B21" s="6"/>
      <c r="C21" s="16" t="s">
        <v>304</v>
      </c>
      <c r="D21" s="105" t="s">
        <v>364</v>
      </c>
      <c r="E21" s="5"/>
      <c r="F21" s="45"/>
    </row>
    <row r="22" spans="1:6" s="41" customFormat="1" ht="45">
      <c r="A22" s="12" t="s">
        <v>30</v>
      </c>
      <c r="B22" s="51"/>
      <c r="C22" s="16" t="s">
        <v>522</v>
      </c>
      <c r="D22" s="105" t="s">
        <v>305</v>
      </c>
      <c r="E22" s="5"/>
      <c r="F22" s="45"/>
    </row>
    <row r="23" spans="1:6" s="41" customFormat="1" ht="21">
      <c r="A23" s="12" t="s">
        <v>31</v>
      </c>
      <c r="B23" s="51"/>
      <c r="C23" s="16" t="s">
        <v>149</v>
      </c>
      <c r="D23" s="105"/>
      <c r="E23" s="5"/>
      <c r="F23" s="45"/>
    </row>
    <row r="24" spans="1:6" s="41" customFormat="1" ht="21">
      <c r="A24" s="12" t="s">
        <v>32</v>
      </c>
      <c r="B24" s="51"/>
      <c r="C24" s="16" t="s">
        <v>148</v>
      </c>
      <c r="D24" s="105"/>
      <c r="E24" s="5"/>
      <c r="F24" s="45"/>
    </row>
    <row r="25" spans="1:6" ht="30">
      <c r="A25" s="12" t="s">
        <v>33</v>
      </c>
      <c r="B25" s="6"/>
      <c r="C25" s="16" t="s">
        <v>567</v>
      </c>
      <c r="D25" s="105" t="s">
        <v>150</v>
      </c>
      <c r="E25" s="5"/>
      <c r="F25" s="45"/>
    </row>
    <row r="26" spans="1:6" s="41" customFormat="1" ht="21">
      <c r="A26" s="12" t="s">
        <v>34</v>
      </c>
      <c r="B26" s="51"/>
      <c r="C26" s="16" t="s">
        <v>152</v>
      </c>
      <c r="D26" s="105"/>
      <c r="E26" s="5"/>
      <c r="F26" s="45"/>
    </row>
    <row r="27" spans="1:6" s="41" customFormat="1" ht="45">
      <c r="A27" s="12" t="s">
        <v>35</v>
      </c>
      <c r="B27" s="51"/>
      <c r="C27" s="16" t="s">
        <v>151</v>
      </c>
      <c r="D27" s="105" t="s">
        <v>153</v>
      </c>
      <c r="E27" s="5"/>
      <c r="F27" s="45"/>
    </row>
    <row r="28" spans="1:6" s="41" customFormat="1" ht="30">
      <c r="A28" s="12" t="s">
        <v>36</v>
      </c>
      <c r="B28" s="51"/>
      <c r="C28" s="16" t="s">
        <v>154</v>
      </c>
      <c r="D28" s="105" t="s">
        <v>156</v>
      </c>
      <c r="E28" s="5"/>
      <c r="F28" s="45"/>
    </row>
    <row r="29" spans="1:6" ht="30">
      <c r="A29" s="12" t="s">
        <v>37</v>
      </c>
      <c r="B29" s="6"/>
      <c r="C29" s="16" t="s">
        <v>155</v>
      </c>
      <c r="D29" s="105" t="s">
        <v>157</v>
      </c>
      <c r="E29" s="5"/>
      <c r="F29" s="45"/>
    </row>
    <row r="30" spans="1:6" ht="30">
      <c r="A30" s="12" t="s">
        <v>38</v>
      </c>
      <c r="B30" s="6"/>
      <c r="C30" s="16" t="s">
        <v>158</v>
      </c>
      <c r="D30" s="105" t="s">
        <v>159</v>
      </c>
      <c r="E30" s="5"/>
      <c r="F30" s="45"/>
    </row>
    <row r="31" spans="1:6" ht="30">
      <c r="A31" s="12" t="s">
        <v>39</v>
      </c>
      <c r="B31" s="51"/>
      <c r="C31" s="16" t="s">
        <v>602</v>
      </c>
      <c r="D31" s="105"/>
      <c r="E31" s="5"/>
      <c r="F31" s="45"/>
    </row>
    <row r="32" spans="1:6" ht="45">
      <c r="A32" s="12" t="s">
        <v>40</v>
      </c>
      <c r="B32" s="51"/>
      <c r="C32" s="16" t="s">
        <v>579</v>
      </c>
      <c r="D32" s="105" t="s">
        <v>160</v>
      </c>
      <c r="E32" s="5"/>
      <c r="F32" s="45"/>
    </row>
    <row r="33" spans="1:6" ht="45">
      <c r="A33" s="12" t="s">
        <v>41</v>
      </c>
      <c r="B33" s="51"/>
      <c r="C33" s="16" t="s">
        <v>580</v>
      </c>
      <c r="D33" s="105" t="s">
        <v>161</v>
      </c>
      <c r="E33" s="5"/>
      <c r="F33" s="45"/>
    </row>
    <row r="34" spans="1:6" ht="45">
      <c r="A34" s="12" t="s">
        <v>42</v>
      </c>
      <c r="B34" s="51"/>
      <c r="C34" s="16" t="s">
        <v>581</v>
      </c>
      <c r="D34" s="105" t="s">
        <v>162</v>
      </c>
      <c r="E34" s="5"/>
      <c r="F34" s="45"/>
    </row>
    <row r="35" spans="1:6" s="41" customFormat="1" ht="60">
      <c r="A35" s="12" t="s">
        <v>43</v>
      </c>
      <c r="B35" s="51"/>
      <c r="C35" s="16" t="s">
        <v>164</v>
      </c>
      <c r="D35" s="105" t="s">
        <v>163</v>
      </c>
      <c r="E35" s="5"/>
      <c r="F35" s="45"/>
    </row>
    <row r="36" spans="1:6" s="41" customFormat="1" ht="60">
      <c r="A36" s="12" t="s">
        <v>44</v>
      </c>
      <c r="B36" s="51"/>
      <c r="C36" s="16" t="s">
        <v>166</v>
      </c>
      <c r="D36" s="105" t="s">
        <v>165</v>
      </c>
      <c r="E36" s="5"/>
      <c r="F36" s="45"/>
    </row>
    <row r="37" spans="1:6" s="41" customFormat="1" ht="60">
      <c r="A37" s="12" t="s">
        <v>45</v>
      </c>
      <c r="B37" s="51"/>
      <c r="C37" s="16" t="s">
        <v>166</v>
      </c>
      <c r="D37" s="105" t="s">
        <v>167</v>
      </c>
      <c r="E37" s="5"/>
      <c r="F37" s="45"/>
    </row>
    <row r="38" spans="1:6" s="41" customFormat="1" ht="60">
      <c r="A38" s="12" t="s">
        <v>46</v>
      </c>
      <c r="B38" s="51"/>
      <c r="C38" s="16" t="s">
        <v>166</v>
      </c>
      <c r="D38" s="105" t="s">
        <v>168</v>
      </c>
      <c r="E38" s="5"/>
      <c r="F38" s="45"/>
    </row>
    <row r="39" spans="1:6" s="41" customFormat="1" ht="60">
      <c r="A39" s="12" t="s">
        <v>47</v>
      </c>
      <c r="B39" s="51"/>
      <c r="C39" s="16" t="s">
        <v>170</v>
      </c>
      <c r="D39" s="105" t="s">
        <v>175</v>
      </c>
      <c r="E39" s="5"/>
      <c r="F39" s="45"/>
    </row>
    <row r="40" spans="1:6" s="41" customFormat="1" ht="60">
      <c r="A40" s="12" t="s">
        <v>48</v>
      </c>
      <c r="B40" s="51"/>
      <c r="C40" s="16" t="s">
        <v>169</v>
      </c>
      <c r="D40" s="105" t="s">
        <v>171</v>
      </c>
      <c r="E40" s="5"/>
      <c r="F40" s="45"/>
    </row>
    <row r="41" spans="1:6" s="41" customFormat="1" ht="45">
      <c r="A41" s="12" t="s">
        <v>49</v>
      </c>
      <c r="B41" s="51"/>
      <c r="C41" s="16" t="s">
        <v>172</v>
      </c>
      <c r="D41" s="105" t="s">
        <v>174</v>
      </c>
      <c r="E41" s="5"/>
      <c r="F41" s="45"/>
    </row>
    <row r="42" spans="1:6" s="41" customFormat="1" ht="45">
      <c r="A42" s="12" t="s">
        <v>50</v>
      </c>
      <c r="B42" s="51"/>
      <c r="C42" s="16" t="s">
        <v>172</v>
      </c>
      <c r="D42" s="105" t="s">
        <v>173</v>
      </c>
      <c r="E42" s="5"/>
      <c r="F42" s="45"/>
    </row>
    <row r="43" spans="1:6" s="41" customFormat="1" ht="45">
      <c r="A43" s="12" t="s">
        <v>51</v>
      </c>
      <c r="B43" s="51"/>
      <c r="C43" s="16" t="s">
        <v>176</v>
      </c>
      <c r="D43" s="105" t="s">
        <v>178</v>
      </c>
      <c r="E43" s="5"/>
      <c r="F43" s="45"/>
    </row>
    <row r="44" spans="1:6" s="41" customFormat="1" ht="45">
      <c r="A44" s="12" t="s">
        <v>52</v>
      </c>
      <c r="B44" s="51"/>
      <c r="C44" s="16" t="s">
        <v>177</v>
      </c>
      <c r="D44" s="105" t="s">
        <v>179</v>
      </c>
      <c r="E44" s="5"/>
      <c r="F44" s="45"/>
    </row>
    <row r="45" spans="1:6" s="41" customFormat="1" ht="45">
      <c r="A45" s="12" t="s">
        <v>53</v>
      </c>
      <c r="B45" s="51"/>
      <c r="C45" s="16" t="s">
        <v>151</v>
      </c>
      <c r="D45" s="105" t="s">
        <v>180</v>
      </c>
      <c r="E45" s="5"/>
      <c r="F45" s="45"/>
    </row>
    <row r="46" spans="1:6" s="41" customFormat="1" ht="45">
      <c r="A46" s="12" t="s">
        <v>54</v>
      </c>
      <c r="B46" s="51"/>
      <c r="C46" s="16" t="s">
        <v>182</v>
      </c>
      <c r="D46" s="105" t="s">
        <v>181</v>
      </c>
      <c r="E46" s="5"/>
      <c r="F46" s="45"/>
    </row>
    <row r="47" spans="1:6" s="41" customFormat="1" ht="45">
      <c r="A47" s="12" t="s">
        <v>55</v>
      </c>
      <c r="B47" s="51"/>
      <c r="C47" s="16" t="s">
        <v>183</v>
      </c>
      <c r="D47" s="105" t="s">
        <v>184</v>
      </c>
      <c r="E47" s="5"/>
      <c r="F47" s="45"/>
    </row>
    <row r="48" spans="1:6" ht="45">
      <c r="A48" s="12" t="s">
        <v>56</v>
      </c>
      <c r="B48" s="51"/>
      <c r="C48" s="16" t="s">
        <v>185</v>
      </c>
      <c r="D48" s="105" t="s">
        <v>186</v>
      </c>
      <c r="E48" s="5"/>
      <c r="F48" s="45"/>
    </row>
    <row r="49" spans="1:6" ht="45">
      <c r="A49" s="12" t="s">
        <v>57</v>
      </c>
      <c r="B49" s="51"/>
      <c r="C49" s="16" t="s">
        <v>599</v>
      </c>
      <c r="D49" s="105" t="s">
        <v>455</v>
      </c>
      <c r="E49" s="5"/>
      <c r="F49" s="45"/>
    </row>
    <row r="50" spans="1:6" ht="60">
      <c r="A50" s="12" t="s">
        <v>58</v>
      </c>
      <c r="B50" s="51"/>
      <c r="C50" s="16" t="s">
        <v>597</v>
      </c>
      <c r="D50" s="105" t="s">
        <v>163</v>
      </c>
      <c r="E50" s="5"/>
      <c r="F50" s="45"/>
    </row>
    <row r="51" spans="1:6" ht="45">
      <c r="A51" s="12" t="s">
        <v>59</v>
      </c>
      <c r="B51" s="51"/>
      <c r="C51" s="16" t="s">
        <v>187</v>
      </c>
      <c r="D51" s="105"/>
      <c r="E51" s="5"/>
      <c r="F51" s="45"/>
    </row>
    <row r="52" spans="1:6" ht="45">
      <c r="A52" s="12" t="s">
        <v>60</v>
      </c>
      <c r="B52" s="51"/>
      <c r="C52" s="16" t="s">
        <v>188</v>
      </c>
      <c r="D52" s="105"/>
      <c r="E52" s="5"/>
      <c r="F52" s="45"/>
    </row>
    <row r="53" spans="1:6" ht="75">
      <c r="A53" s="12" t="s">
        <v>61</v>
      </c>
      <c r="B53" s="51"/>
      <c r="C53" s="16" t="s">
        <v>596</v>
      </c>
      <c r="D53" s="105" t="s">
        <v>163</v>
      </c>
      <c r="E53" s="5"/>
      <c r="F53" s="45"/>
    </row>
    <row r="54" spans="1:6" ht="75">
      <c r="A54" s="12" t="s">
        <v>62</v>
      </c>
      <c r="B54" s="51"/>
      <c r="C54" s="16" t="s">
        <v>189</v>
      </c>
      <c r="D54" s="105" t="s">
        <v>163</v>
      </c>
      <c r="E54" s="5"/>
      <c r="F54" s="45"/>
    </row>
    <row r="55" spans="1:6" ht="45">
      <c r="A55" s="12" t="s">
        <v>63</v>
      </c>
      <c r="B55" s="51"/>
      <c r="C55" s="16" t="s">
        <v>302</v>
      </c>
      <c r="D55" s="105" t="s">
        <v>303</v>
      </c>
      <c r="E55" s="5"/>
      <c r="F55" s="45"/>
    </row>
    <row r="56" spans="1:6" ht="60">
      <c r="A56" s="12" t="s">
        <v>64</v>
      </c>
      <c r="B56" s="51"/>
      <c r="C56" s="16" t="s">
        <v>307</v>
      </c>
      <c r="D56" s="105" t="s">
        <v>306</v>
      </c>
      <c r="E56" s="5"/>
      <c r="F56" s="45"/>
    </row>
    <row r="57" spans="1:6" ht="45">
      <c r="A57" s="12" t="s">
        <v>65</v>
      </c>
      <c r="B57" s="51"/>
      <c r="C57" s="16" t="s">
        <v>308</v>
      </c>
      <c r="D57" s="105" t="s">
        <v>318</v>
      </c>
      <c r="E57" s="5"/>
      <c r="F57" s="45"/>
    </row>
    <row r="58" spans="1:6" ht="45">
      <c r="A58" s="12" t="s">
        <v>66</v>
      </c>
      <c r="B58" s="51"/>
      <c r="C58" s="16" t="s">
        <v>310</v>
      </c>
      <c r="D58" s="105" t="s">
        <v>309</v>
      </c>
      <c r="E58" s="5"/>
      <c r="F58" s="45"/>
    </row>
    <row r="59" spans="1:6" ht="45">
      <c r="A59" s="12" t="s">
        <v>67</v>
      </c>
      <c r="B59" s="51"/>
      <c r="C59" s="16" t="s">
        <v>311</v>
      </c>
      <c r="D59" s="105" t="s">
        <v>319</v>
      </c>
      <c r="E59" s="5"/>
      <c r="F59" s="45"/>
    </row>
    <row r="60" spans="1:6" ht="45">
      <c r="A60" s="12" t="s">
        <v>68</v>
      </c>
      <c r="B60" s="51"/>
      <c r="C60" s="16" t="s">
        <v>312</v>
      </c>
      <c r="D60" s="105" t="s">
        <v>320</v>
      </c>
      <c r="E60" s="5"/>
      <c r="F60" s="45"/>
    </row>
    <row r="61" spans="1:6" ht="45">
      <c r="A61" s="12" t="s">
        <v>69</v>
      </c>
      <c r="B61" s="51"/>
      <c r="C61" s="16" t="s">
        <v>576</v>
      </c>
      <c r="D61" s="105" t="s">
        <v>357</v>
      </c>
      <c r="E61" s="5"/>
      <c r="F61" s="45"/>
    </row>
    <row r="62" spans="1:6" ht="30">
      <c r="A62" s="12" t="s">
        <v>70</v>
      </c>
      <c r="B62" s="51"/>
      <c r="C62" s="16" t="s">
        <v>359</v>
      </c>
      <c r="D62" s="105" t="s">
        <v>358</v>
      </c>
      <c r="E62" s="5"/>
      <c r="F62" s="45"/>
    </row>
    <row r="63" spans="1:6" ht="60">
      <c r="A63" s="12" t="s">
        <v>71</v>
      </c>
      <c r="B63" s="51"/>
      <c r="C63" s="16" t="s">
        <v>361</v>
      </c>
      <c r="D63" s="105" t="s">
        <v>360</v>
      </c>
      <c r="E63" s="5"/>
      <c r="F63" s="45"/>
    </row>
    <row r="64" spans="1:6" ht="60">
      <c r="A64" s="12" t="s">
        <v>72</v>
      </c>
      <c r="B64" s="51"/>
      <c r="C64" s="16" t="s">
        <v>362</v>
      </c>
      <c r="D64" s="105"/>
      <c r="E64" s="5"/>
      <c r="F64" s="45"/>
    </row>
    <row r="65" spans="1:6" ht="21">
      <c r="A65" s="12" t="s">
        <v>73</v>
      </c>
      <c r="B65" s="51"/>
      <c r="C65" s="16" t="s">
        <v>363</v>
      </c>
      <c r="D65" s="105" t="s">
        <v>594</v>
      </c>
      <c r="E65" s="5"/>
      <c r="F65" s="45"/>
    </row>
    <row r="66" spans="1:6" ht="30">
      <c r="A66" s="12" t="s">
        <v>74</v>
      </c>
      <c r="B66" s="51"/>
      <c r="C66" s="16" t="s">
        <v>367</v>
      </c>
      <c r="D66" s="105" t="s">
        <v>365</v>
      </c>
      <c r="E66" s="5"/>
      <c r="F66" s="45"/>
    </row>
    <row r="67" spans="1:6" ht="30">
      <c r="A67" s="12" t="s">
        <v>75</v>
      </c>
      <c r="B67" s="51"/>
      <c r="C67" s="16" t="s">
        <v>367</v>
      </c>
      <c r="D67" s="105" t="s">
        <v>366</v>
      </c>
      <c r="E67" s="5"/>
      <c r="F67" s="45"/>
    </row>
    <row r="68" spans="1:6" ht="45">
      <c r="A68" s="12" t="s">
        <v>76</v>
      </c>
      <c r="B68" s="51"/>
      <c r="C68" s="16" t="s">
        <v>368</v>
      </c>
      <c r="D68" s="105" t="s">
        <v>603</v>
      </c>
      <c r="E68" s="5"/>
      <c r="F68" s="45"/>
    </row>
    <row r="69" spans="1:6" ht="90">
      <c r="A69" s="12" t="s">
        <v>77</v>
      </c>
      <c r="B69" s="51"/>
      <c r="C69" s="16" t="s">
        <v>370</v>
      </c>
      <c r="D69" s="105" t="s">
        <v>369</v>
      </c>
      <c r="E69" s="5"/>
      <c r="F69" s="45"/>
    </row>
    <row r="70" spans="1:6" ht="60">
      <c r="A70" s="12" t="s">
        <v>78</v>
      </c>
      <c r="B70" s="51"/>
      <c r="C70" s="16" t="s">
        <v>372</v>
      </c>
      <c r="D70" s="105" t="s">
        <v>371</v>
      </c>
      <c r="E70" s="5"/>
      <c r="F70" s="45"/>
    </row>
    <row r="71" spans="1:6" ht="30">
      <c r="A71" s="12" t="s">
        <v>79</v>
      </c>
      <c r="B71" s="51"/>
      <c r="C71" s="16" t="s">
        <v>413</v>
      </c>
      <c r="D71" s="105"/>
      <c r="E71" s="5"/>
      <c r="F71" s="45"/>
    </row>
    <row r="72" spans="1:6" ht="21">
      <c r="A72" s="12" t="s">
        <v>80</v>
      </c>
      <c r="B72" s="51"/>
      <c r="C72" s="16" t="s">
        <v>417</v>
      </c>
      <c r="D72" s="105"/>
      <c r="E72" s="5"/>
      <c r="F72" s="45"/>
    </row>
    <row r="73" spans="1:6" ht="21">
      <c r="A73" s="12" t="s">
        <v>81</v>
      </c>
      <c r="B73" s="51"/>
      <c r="C73" s="16" t="s">
        <v>418</v>
      </c>
      <c r="D73" s="105"/>
      <c r="E73" s="5"/>
      <c r="F73" s="45"/>
    </row>
    <row r="74" spans="1:6" ht="21">
      <c r="A74" s="12" t="s">
        <v>82</v>
      </c>
      <c r="B74" s="51"/>
      <c r="C74" s="16" t="s">
        <v>419</v>
      </c>
      <c r="D74" s="105" t="s">
        <v>424</v>
      </c>
      <c r="E74" s="5"/>
      <c r="F74" s="45"/>
    </row>
    <row r="75" spans="1:6" ht="21">
      <c r="A75" s="12" t="s">
        <v>83</v>
      </c>
      <c r="B75" s="51"/>
      <c r="C75" s="16" t="s">
        <v>421</v>
      </c>
      <c r="D75" s="105"/>
      <c r="E75" s="5"/>
      <c r="F75" s="45"/>
    </row>
    <row r="76" spans="1:6" ht="30">
      <c r="A76" s="12" t="s">
        <v>84</v>
      </c>
      <c r="B76" s="106"/>
      <c r="C76" s="16" t="s">
        <v>420</v>
      </c>
      <c r="D76" s="105"/>
      <c r="E76" s="5"/>
      <c r="F76" s="45"/>
    </row>
    <row r="77" spans="1:6" ht="30">
      <c r="A77" s="12" t="s">
        <v>85</v>
      </c>
      <c r="B77" s="51"/>
      <c r="C77" s="16" t="s">
        <v>422</v>
      </c>
      <c r="D77" s="105" t="s">
        <v>423</v>
      </c>
      <c r="E77" s="5"/>
      <c r="F77" s="45"/>
    </row>
    <row r="78" spans="1:6" ht="30">
      <c r="A78" s="12" t="s">
        <v>86</v>
      </c>
      <c r="B78" s="51"/>
      <c r="C78" s="16" t="s">
        <v>426</v>
      </c>
      <c r="D78" s="105" t="s">
        <v>425</v>
      </c>
      <c r="E78" s="5"/>
      <c r="F78" s="45"/>
    </row>
    <row r="79" spans="1:6" ht="30">
      <c r="A79" s="12" t="s">
        <v>87</v>
      </c>
      <c r="B79" s="51"/>
      <c r="C79" s="16" t="s">
        <v>427</v>
      </c>
      <c r="D79" s="105" t="s">
        <v>637</v>
      </c>
      <c r="E79" s="5"/>
      <c r="F79" s="45"/>
    </row>
    <row r="80" spans="1:6" ht="45">
      <c r="A80" s="12" t="s">
        <v>88</v>
      </c>
      <c r="B80" s="51"/>
      <c r="C80" s="16" t="s">
        <v>428</v>
      </c>
      <c r="D80" s="105" t="s">
        <v>305</v>
      </c>
      <c r="E80" s="5"/>
      <c r="F80" s="46" t="s">
        <v>623</v>
      </c>
    </row>
    <row r="81" spans="1:6" ht="21">
      <c r="A81" s="12" t="s">
        <v>89</v>
      </c>
      <c r="B81" s="51"/>
      <c r="C81" s="16" t="s">
        <v>430</v>
      </c>
      <c r="D81" s="105" t="s">
        <v>429</v>
      </c>
      <c r="E81" s="5"/>
      <c r="F81" s="45"/>
    </row>
    <row r="82" spans="1:6" ht="30">
      <c r="A82" s="12" t="s">
        <v>90</v>
      </c>
      <c r="B82" s="51"/>
      <c r="C82" s="16" t="s">
        <v>431</v>
      </c>
      <c r="D82" s="105" t="s">
        <v>432</v>
      </c>
      <c r="E82" s="5"/>
      <c r="F82" s="45"/>
    </row>
    <row r="83" spans="1:6" ht="60">
      <c r="A83" s="12" t="s">
        <v>414</v>
      </c>
      <c r="B83" s="12"/>
      <c r="C83" s="16" t="s">
        <v>613</v>
      </c>
      <c r="D83" s="105" t="s">
        <v>163</v>
      </c>
      <c r="E83" s="104"/>
      <c r="F83" s="45"/>
    </row>
    <row r="84" spans="1:6" ht="60">
      <c r="A84" s="12" t="s">
        <v>415</v>
      </c>
      <c r="B84" s="132"/>
      <c r="C84" s="16" t="s">
        <v>433</v>
      </c>
      <c r="D84" s="105" t="s">
        <v>165</v>
      </c>
      <c r="E84" s="104"/>
      <c r="F84" s="142"/>
    </row>
    <row r="85" spans="1:6" ht="60">
      <c r="A85" s="12" t="s">
        <v>313</v>
      </c>
      <c r="B85" s="132"/>
      <c r="C85" s="16" t="s">
        <v>446</v>
      </c>
      <c r="D85" s="105" t="s">
        <v>447</v>
      </c>
      <c r="E85" s="104"/>
      <c r="F85" s="142"/>
    </row>
    <row r="86" spans="1:6" ht="60">
      <c r="A86" s="12" t="s">
        <v>416</v>
      </c>
      <c r="B86" s="132"/>
      <c r="C86" s="16" t="s">
        <v>448</v>
      </c>
      <c r="D86" s="105" t="s">
        <v>175</v>
      </c>
      <c r="E86" s="104"/>
      <c r="F86" s="142"/>
    </row>
    <row r="87" spans="1:6" ht="60">
      <c r="A87" s="12" t="s">
        <v>434</v>
      </c>
      <c r="B87" s="132"/>
      <c r="C87" s="16" t="s">
        <v>450</v>
      </c>
      <c r="D87" s="105" t="s">
        <v>449</v>
      </c>
      <c r="E87" s="104"/>
      <c r="F87" s="142"/>
    </row>
    <row r="88" spans="1:6" ht="60">
      <c r="A88" s="12" t="s">
        <v>435</v>
      </c>
      <c r="B88" s="132"/>
      <c r="C88" s="16" t="s">
        <v>452</v>
      </c>
      <c r="D88" s="105" t="s">
        <v>451</v>
      </c>
      <c r="E88" s="104"/>
      <c r="F88" s="142"/>
    </row>
    <row r="89" spans="1:6" ht="45">
      <c r="A89" s="12" t="s">
        <v>436</v>
      </c>
      <c r="B89" s="132"/>
      <c r="C89" s="16" t="s">
        <v>454</v>
      </c>
      <c r="D89" s="105" t="s">
        <v>453</v>
      </c>
      <c r="E89" s="104"/>
      <c r="F89" s="142"/>
    </row>
    <row r="90" spans="1:6" ht="45">
      <c r="A90" s="12" t="s">
        <v>445</v>
      </c>
      <c r="B90" s="132"/>
      <c r="C90" s="16" t="s">
        <v>456</v>
      </c>
      <c r="D90" s="105" t="s">
        <v>455</v>
      </c>
      <c r="E90" s="104"/>
      <c r="F90" s="142"/>
    </row>
    <row r="91" spans="1:6" ht="60">
      <c r="A91" s="12" t="s">
        <v>437</v>
      </c>
      <c r="B91" s="132"/>
      <c r="C91" s="16" t="s">
        <v>617</v>
      </c>
      <c r="D91" s="105" t="s">
        <v>163</v>
      </c>
      <c r="E91" s="104"/>
      <c r="F91" s="142"/>
    </row>
    <row r="92" spans="1:6" ht="30">
      <c r="A92" s="12" t="s">
        <v>438</v>
      </c>
      <c r="B92" s="132"/>
      <c r="C92" s="16" t="s">
        <v>457</v>
      </c>
      <c r="D92" s="141" t="s">
        <v>458</v>
      </c>
      <c r="E92" s="104"/>
      <c r="F92" s="142"/>
    </row>
    <row r="93" spans="1:6" ht="30">
      <c r="A93" s="12" t="s">
        <v>442</v>
      </c>
      <c r="B93" s="132"/>
      <c r="C93" s="16" t="s">
        <v>460</v>
      </c>
      <c r="D93" s="141" t="s">
        <v>459</v>
      </c>
      <c r="E93" s="104"/>
      <c r="F93" s="142"/>
    </row>
    <row r="94" spans="1:6" ht="30">
      <c r="A94" s="12" t="s">
        <v>443</v>
      </c>
      <c r="B94" s="134"/>
      <c r="C94" s="16" t="s">
        <v>462</v>
      </c>
      <c r="D94" s="141" t="s">
        <v>439</v>
      </c>
      <c r="E94" s="143"/>
      <c r="F94" s="144"/>
    </row>
    <row r="95" spans="1:6" ht="30">
      <c r="A95" s="12" t="s">
        <v>444</v>
      </c>
      <c r="B95" s="132"/>
      <c r="C95" s="16" t="s">
        <v>463</v>
      </c>
      <c r="D95" s="141" t="s">
        <v>440</v>
      </c>
      <c r="E95" s="104"/>
      <c r="F95" s="142"/>
    </row>
    <row r="96" spans="1:6" ht="21">
      <c r="A96" s="131"/>
      <c r="B96" s="132"/>
      <c r="C96" s="140"/>
      <c r="D96" s="141"/>
      <c r="E96" s="104"/>
      <c r="F96" s="142"/>
    </row>
    <row r="97" spans="1:6" ht="21">
      <c r="A97" s="131"/>
      <c r="B97" s="132"/>
      <c r="C97" s="140"/>
      <c r="D97" s="141"/>
      <c r="E97" s="104"/>
      <c r="F97" s="142"/>
    </row>
    <row r="98" spans="1:6" ht="26.25">
      <c r="A98" s="173" t="s">
        <v>317</v>
      </c>
      <c r="B98" s="174"/>
      <c r="C98" s="174"/>
      <c r="D98" s="174"/>
      <c r="E98" s="174"/>
      <c r="F98" s="175"/>
    </row>
    <row r="99" spans="1:6" ht="45">
      <c r="A99" s="12" t="s">
        <v>100</v>
      </c>
      <c r="B99" s="36"/>
      <c r="C99" s="16" t="s">
        <v>543</v>
      </c>
      <c r="D99" s="105" t="s">
        <v>328</v>
      </c>
      <c r="E99" s="5"/>
      <c r="F99" s="46" t="s">
        <v>623</v>
      </c>
    </row>
    <row r="100" spans="1:6" ht="45">
      <c r="A100" s="12" t="s">
        <v>101</v>
      </c>
      <c r="B100" s="35"/>
      <c r="C100" s="16" t="s">
        <v>544</v>
      </c>
      <c r="D100" s="105" t="s">
        <v>329</v>
      </c>
      <c r="E100" s="5"/>
      <c r="F100" s="46" t="s">
        <v>623</v>
      </c>
    </row>
    <row r="101" spans="1:6" ht="45">
      <c r="A101" s="12" t="s">
        <v>102</v>
      </c>
      <c r="B101" s="35"/>
      <c r="C101" s="16" t="s">
        <v>555</v>
      </c>
      <c r="D101" s="105" t="s">
        <v>330</v>
      </c>
      <c r="E101" s="5"/>
      <c r="F101" s="46" t="s">
        <v>623</v>
      </c>
    </row>
    <row r="102" spans="1:6" ht="45">
      <c r="A102" s="12" t="s">
        <v>103</v>
      </c>
      <c r="B102" s="35"/>
      <c r="C102" s="16" t="s">
        <v>545</v>
      </c>
      <c r="D102" s="105" t="s">
        <v>331</v>
      </c>
      <c r="E102" s="5"/>
      <c r="F102" s="46" t="s">
        <v>623</v>
      </c>
    </row>
    <row r="103" spans="1:6" ht="45">
      <c r="A103" s="12" t="s">
        <v>104</v>
      </c>
      <c r="B103" s="35"/>
      <c r="C103" s="16" t="s">
        <v>546</v>
      </c>
      <c r="D103" s="105" t="s">
        <v>332</v>
      </c>
      <c r="E103" s="5" t="s">
        <v>627</v>
      </c>
      <c r="F103" s="46" t="s">
        <v>624</v>
      </c>
    </row>
    <row r="104" spans="1:6" ht="45">
      <c r="A104" s="12" t="s">
        <v>105</v>
      </c>
      <c r="B104" s="35"/>
      <c r="C104" s="16" t="s">
        <v>547</v>
      </c>
      <c r="D104" s="105" t="s">
        <v>333</v>
      </c>
      <c r="E104" s="104" t="s">
        <v>627</v>
      </c>
      <c r="F104" s="46" t="s">
        <v>624</v>
      </c>
    </row>
    <row r="105" spans="1:6" ht="45">
      <c r="A105" s="12" t="s">
        <v>106</v>
      </c>
      <c r="B105" s="35"/>
      <c r="C105" s="16" t="s">
        <v>546</v>
      </c>
      <c r="D105" s="105" t="s">
        <v>334</v>
      </c>
      <c r="E105" s="104" t="s">
        <v>627</v>
      </c>
      <c r="F105" s="46" t="s">
        <v>624</v>
      </c>
    </row>
    <row r="106" spans="1:6" ht="45">
      <c r="A106" s="12" t="s">
        <v>107</v>
      </c>
      <c r="B106" s="35"/>
      <c r="C106" s="16" t="s">
        <v>548</v>
      </c>
      <c r="D106" s="105" t="s">
        <v>335</v>
      </c>
      <c r="E106" s="104" t="s">
        <v>627</v>
      </c>
      <c r="F106" s="46" t="s">
        <v>624</v>
      </c>
    </row>
    <row r="107" spans="1:6" ht="45">
      <c r="A107" s="12" t="s">
        <v>108</v>
      </c>
      <c r="B107" s="35"/>
      <c r="C107" s="16" t="s">
        <v>549</v>
      </c>
      <c r="D107" s="105" t="s">
        <v>336</v>
      </c>
      <c r="E107" s="104" t="s">
        <v>627</v>
      </c>
      <c r="F107" s="46" t="s">
        <v>624</v>
      </c>
    </row>
    <row r="108" spans="1:6" ht="45">
      <c r="A108" s="12" t="s">
        <v>109</v>
      </c>
      <c r="B108" s="35"/>
      <c r="C108" s="16" t="s">
        <v>549</v>
      </c>
      <c r="D108" s="105" t="s">
        <v>337</v>
      </c>
      <c r="E108" s="104" t="s">
        <v>627</v>
      </c>
      <c r="F108" s="46" t="s">
        <v>624</v>
      </c>
    </row>
    <row r="109" spans="1:6" ht="45">
      <c r="A109" s="12" t="s">
        <v>110</v>
      </c>
      <c r="B109" s="35"/>
      <c r="C109" s="16" t="s">
        <v>550</v>
      </c>
      <c r="D109" s="105" t="s">
        <v>340</v>
      </c>
      <c r="E109" s="104" t="s">
        <v>627</v>
      </c>
      <c r="F109" s="46" t="s">
        <v>624</v>
      </c>
    </row>
    <row r="110" spans="1:6" ht="45">
      <c r="A110" s="12" t="s">
        <v>111</v>
      </c>
      <c r="B110" s="35"/>
      <c r="C110" s="16" t="s">
        <v>550</v>
      </c>
      <c r="D110" s="105" t="s">
        <v>341</v>
      </c>
      <c r="E110" s="104" t="s">
        <v>627</v>
      </c>
      <c r="F110" s="46" t="s">
        <v>624</v>
      </c>
    </row>
    <row r="111" spans="1:6" ht="45">
      <c r="A111" s="12" t="s">
        <v>112</v>
      </c>
      <c r="B111" s="35"/>
      <c r="C111" s="16" t="s">
        <v>550</v>
      </c>
      <c r="D111" s="105" t="s">
        <v>342</v>
      </c>
      <c r="E111" s="104" t="s">
        <v>627</v>
      </c>
      <c r="F111" s="46" t="s">
        <v>624</v>
      </c>
    </row>
    <row r="112" spans="1:6" ht="45">
      <c r="A112" s="12" t="s">
        <v>113</v>
      </c>
      <c r="B112" s="35"/>
      <c r="C112" s="16" t="s">
        <v>551</v>
      </c>
      <c r="D112" s="105" t="s">
        <v>345</v>
      </c>
      <c r="E112" s="104" t="s">
        <v>627</v>
      </c>
      <c r="F112" s="46" t="s">
        <v>624</v>
      </c>
    </row>
    <row r="113" spans="1:6" ht="45">
      <c r="A113" s="12" t="s">
        <v>116</v>
      </c>
      <c r="B113" s="35"/>
      <c r="C113" s="16" t="s">
        <v>552</v>
      </c>
      <c r="D113" s="105" t="s">
        <v>346</v>
      </c>
      <c r="E113" s="104" t="s">
        <v>627</v>
      </c>
      <c r="F113" s="46" t="s">
        <v>624</v>
      </c>
    </row>
    <row r="114" spans="1:6" ht="45">
      <c r="A114" s="12" t="s">
        <v>117</v>
      </c>
      <c r="B114" s="35"/>
      <c r="C114" s="16" t="s">
        <v>552</v>
      </c>
      <c r="D114" s="105" t="s">
        <v>347</v>
      </c>
      <c r="E114" s="104" t="s">
        <v>627</v>
      </c>
      <c r="F114" s="46" t="s">
        <v>624</v>
      </c>
    </row>
    <row r="115" spans="1:6" ht="45">
      <c r="A115" s="12" t="s">
        <v>118</v>
      </c>
      <c r="B115" s="35"/>
      <c r="C115" s="16" t="s">
        <v>545</v>
      </c>
      <c r="D115" s="105" t="s">
        <v>350</v>
      </c>
      <c r="E115" s="104" t="s">
        <v>627</v>
      </c>
      <c r="F115" s="46" t="s">
        <v>624</v>
      </c>
    </row>
    <row r="116" spans="1:6" ht="45">
      <c r="A116" s="12" t="s">
        <v>119</v>
      </c>
      <c r="B116" s="35"/>
      <c r="C116" s="16" t="s">
        <v>545</v>
      </c>
      <c r="D116" s="105" t="s">
        <v>351</v>
      </c>
      <c r="E116" s="104" t="s">
        <v>627</v>
      </c>
      <c r="F116" s="46" t="s">
        <v>624</v>
      </c>
    </row>
    <row r="117" spans="1:6" ht="45">
      <c r="A117" s="12" t="s">
        <v>120</v>
      </c>
      <c r="B117" s="35"/>
      <c r="C117" s="16" t="s">
        <v>545</v>
      </c>
      <c r="D117" s="105" t="s">
        <v>352</v>
      </c>
      <c r="E117" s="104" t="s">
        <v>627</v>
      </c>
      <c r="F117" s="46" t="s">
        <v>624</v>
      </c>
    </row>
    <row r="118" spans="1:6" ht="45">
      <c r="A118" s="12" t="s">
        <v>121</v>
      </c>
      <c r="B118" s="35"/>
      <c r="C118" s="16" t="s">
        <v>553</v>
      </c>
      <c r="D118" s="105" t="s">
        <v>355</v>
      </c>
      <c r="E118" s="104" t="s">
        <v>627</v>
      </c>
      <c r="F118" s="46" t="s">
        <v>625</v>
      </c>
    </row>
    <row r="119" spans="1:6" ht="45">
      <c r="A119" s="12" t="s">
        <v>122</v>
      </c>
      <c r="B119" s="35"/>
      <c r="C119" s="16" t="s">
        <v>547</v>
      </c>
      <c r="D119" s="105" t="s">
        <v>356</v>
      </c>
      <c r="E119" s="104" t="s">
        <v>627</v>
      </c>
      <c r="F119" s="46" t="s">
        <v>625</v>
      </c>
    </row>
    <row r="120" spans="1:6" ht="45">
      <c r="A120" s="12" t="s">
        <v>123</v>
      </c>
      <c r="B120" s="35"/>
      <c r="C120" s="16" t="s">
        <v>549</v>
      </c>
      <c r="D120" s="105" t="s">
        <v>338</v>
      </c>
      <c r="E120" s="104" t="s">
        <v>627</v>
      </c>
      <c r="F120" s="46" t="s">
        <v>625</v>
      </c>
    </row>
    <row r="121" spans="1:6" ht="45">
      <c r="A121" s="12" t="s">
        <v>321</v>
      </c>
      <c r="B121" s="35"/>
      <c r="C121" s="16" t="s">
        <v>549</v>
      </c>
      <c r="D121" s="105" t="s">
        <v>339</v>
      </c>
      <c r="E121" s="104" t="s">
        <v>627</v>
      </c>
      <c r="F121" s="46" t="s">
        <v>625</v>
      </c>
    </row>
    <row r="122" spans="1:6" ht="45">
      <c r="A122" s="12" t="s">
        <v>322</v>
      </c>
      <c r="B122" s="35"/>
      <c r="C122" s="16" t="s">
        <v>550</v>
      </c>
      <c r="D122" s="105" t="s">
        <v>343</v>
      </c>
      <c r="E122" s="104" t="s">
        <v>627</v>
      </c>
      <c r="F122" s="46" t="s">
        <v>625</v>
      </c>
    </row>
    <row r="123" spans="1:6" ht="45">
      <c r="A123" s="12" t="s">
        <v>323</v>
      </c>
      <c r="B123" s="35"/>
      <c r="C123" s="16" t="s">
        <v>550</v>
      </c>
      <c r="D123" s="105" t="s">
        <v>344</v>
      </c>
      <c r="E123" s="104" t="s">
        <v>627</v>
      </c>
      <c r="F123" s="46" t="s">
        <v>625</v>
      </c>
    </row>
    <row r="124" spans="1:6" ht="45">
      <c r="A124" s="12" t="s">
        <v>324</v>
      </c>
      <c r="B124" s="12"/>
      <c r="C124" s="16" t="s">
        <v>552</v>
      </c>
      <c r="D124" s="105" t="s">
        <v>348</v>
      </c>
      <c r="E124" s="104" t="s">
        <v>627</v>
      </c>
      <c r="F124" s="46" t="s">
        <v>625</v>
      </c>
    </row>
    <row r="125" spans="1:6" ht="45">
      <c r="A125" s="12" t="s">
        <v>325</v>
      </c>
      <c r="B125" s="35"/>
      <c r="C125" s="16" t="s">
        <v>552</v>
      </c>
      <c r="D125" s="105" t="s">
        <v>349</v>
      </c>
      <c r="E125" s="104" t="s">
        <v>627</v>
      </c>
      <c r="F125" s="46" t="s">
        <v>625</v>
      </c>
    </row>
    <row r="126" spans="1:6" ht="45">
      <c r="A126" s="12" t="s">
        <v>326</v>
      </c>
      <c r="B126" s="35"/>
      <c r="C126" s="16" t="s">
        <v>545</v>
      </c>
      <c r="D126" s="105" t="s">
        <v>353</v>
      </c>
      <c r="E126" s="104" t="s">
        <v>627</v>
      </c>
      <c r="F126" s="46" t="s">
        <v>625</v>
      </c>
    </row>
    <row r="127" spans="1:6" ht="60">
      <c r="A127" s="12" t="s">
        <v>327</v>
      </c>
      <c r="B127" s="35"/>
      <c r="C127" s="16" t="s">
        <v>373</v>
      </c>
      <c r="D127" s="105" t="s">
        <v>354</v>
      </c>
      <c r="E127" s="104" t="s">
        <v>627</v>
      </c>
      <c r="F127" s="46" t="s">
        <v>625</v>
      </c>
    </row>
    <row r="128" spans="1:6">
      <c r="A128" s="93"/>
      <c r="B128" s="35"/>
      <c r="C128" s="55"/>
      <c r="D128" s="44"/>
      <c r="E128" s="104"/>
      <c r="F128" s="139"/>
    </row>
    <row r="129" spans="1:6" ht="21">
      <c r="A129" s="131"/>
      <c r="B129" s="35"/>
      <c r="C129" s="55"/>
      <c r="D129" s="44"/>
      <c r="E129" s="104"/>
      <c r="F129" s="139"/>
    </row>
    <row r="130" spans="1:6" ht="21">
      <c r="A130" s="131"/>
      <c r="B130" s="35"/>
      <c r="C130" s="55"/>
      <c r="D130" s="44"/>
      <c r="E130" s="104"/>
      <c r="F130" s="139"/>
    </row>
    <row r="131" spans="1:6" ht="21">
      <c r="A131" s="131"/>
      <c r="B131" s="35"/>
      <c r="C131" s="55"/>
      <c r="D131" s="44"/>
      <c r="E131" s="104"/>
      <c r="F131" s="139"/>
    </row>
    <row r="132" spans="1:6" ht="21">
      <c r="A132" s="131"/>
      <c r="B132" s="35"/>
      <c r="C132" s="55"/>
      <c r="D132" s="44"/>
      <c r="E132" s="104"/>
      <c r="F132" s="139"/>
    </row>
    <row r="133" spans="1:6" ht="21">
      <c r="A133" s="131"/>
      <c r="B133" s="35"/>
      <c r="C133" s="55"/>
      <c r="D133" s="44"/>
      <c r="E133" s="104"/>
      <c r="F133" s="139"/>
    </row>
    <row r="134" spans="1:6" ht="21">
      <c r="A134" s="7"/>
      <c r="B134" s="10"/>
      <c r="C134" s="8"/>
      <c r="D134" s="9"/>
      <c r="E134" s="10"/>
      <c r="F134" s="11"/>
    </row>
    <row r="135" spans="1:6" ht="26.25">
      <c r="A135" s="176" t="s">
        <v>461</v>
      </c>
      <c r="B135" s="177"/>
      <c r="C135" s="177"/>
      <c r="D135" s="177"/>
      <c r="E135" s="177"/>
      <c r="F135" s="178"/>
    </row>
    <row r="136" spans="1:6" ht="30">
      <c r="A136" s="12" t="s">
        <v>441</v>
      </c>
      <c r="B136" s="43"/>
      <c r="C136" s="16" t="s">
        <v>620</v>
      </c>
      <c r="D136" s="14" t="s">
        <v>626</v>
      </c>
      <c r="E136" s="13"/>
      <c r="F136" s="49"/>
    </row>
    <row r="137" spans="1:6" ht="21">
      <c r="A137" s="12"/>
      <c r="B137" s="43"/>
      <c r="C137" s="16"/>
      <c r="D137" s="14"/>
      <c r="E137" s="47"/>
      <c r="F137" s="50"/>
    </row>
    <row r="138" spans="1:6" ht="21">
      <c r="A138" s="12"/>
      <c r="B138" s="43"/>
      <c r="C138" s="16"/>
      <c r="D138" s="14"/>
      <c r="E138" s="47"/>
      <c r="F138" s="48"/>
    </row>
    <row r="139" spans="1:6" ht="21">
      <c r="A139" s="12"/>
      <c r="B139" s="43"/>
      <c r="C139" s="6"/>
      <c r="D139" s="42"/>
      <c r="E139" s="47"/>
      <c r="F139" s="48"/>
    </row>
    <row r="140" spans="1:6" ht="21">
      <c r="A140" s="12"/>
      <c r="B140" s="43"/>
      <c r="C140" s="6"/>
      <c r="D140" s="44"/>
      <c r="E140" s="47"/>
      <c r="F140" s="48"/>
    </row>
    <row r="141" spans="1:6" ht="21">
      <c r="A141" s="12"/>
      <c r="B141" s="43"/>
      <c r="C141" s="6"/>
      <c r="D141" s="42"/>
      <c r="E141" s="47"/>
      <c r="F141" s="48"/>
    </row>
    <row r="142" spans="1:6" ht="21">
      <c r="A142" s="12"/>
      <c r="B142" s="60"/>
      <c r="C142" s="61"/>
      <c r="D142" s="62"/>
      <c r="E142" s="63"/>
      <c r="F142" s="64"/>
    </row>
    <row r="143" spans="1:6" ht="21">
      <c r="A143" s="12"/>
      <c r="B143" s="56"/>
      <c r="C143" s="51"/>
      <c r="D143" s="44"/>
      <c r="E143" s="57"/>
      <c r="F143" s="58"/>
    </row>
    <row r="144" spans="1:6" ht="21">
      <c r="A144" s="12"/>
      <c r="B144" s="56"/>
      <c r="C144" s="51"/>
      <c r="D144" s="44"/>
      <c r="E144" s="57"/>
      <c r="F144" s="58"/>
    </row>
    <row r="145" spans="1:6" ht="21">
      <c r="A145" s="12"/>
      <c r="B145" s="56"/>
      <c r="C145" s="51"/>
      <c r="D145" s="44"/>
      <c r="E145" s="57"/>
      <c r="F145" s="58"/>
    </row>
    <row r="146" spans="1:6" ht="21">
      <c r="A146" s="12"/>
      <c r="B146" s="56"/>
      <c r="C146" s="51"/>
      <c r="D146" s="44"/>
      <c r="E146" s="57"/>
      <c r="F146" s="58"/>
    </row>
    <row r="147" spans="1:6" ht="21">
      <c r="A147" s="12"/>
      <c r="B147" s="56"/>
      <c r="C147" s="51"/>
      <c r="D147" s="44"/>
      <c r="E147" s="57"/>
      <c r="F147" s="58"/>
    </row>
    <row r="148" spans="1:6" ht="21">
      <c r="A148" s="12"/>
      <c r="B148" s="56"/>
      <c r="C148" s="51"/>
      <c r="D148" s="44"/>
      <c r="E148" s="57"/>
      <c r="F148" s="58"/>
    </row>
    <row r="149" spans="1:6" ht="21">
      <c r="A149" s="12"/>
      <c r="B149" s="56"/>
      <c r="C149" s="51"/>
      <c r="D149" s="44"/>
      <c r="E149" s="57"/>
      <c r="F149" s="58"/>
    </row>
    <row r="150" spans="1:6" ht="21">
      <c r="A150" s="12"/>
      <c r="B150" s="56"/>
      <c r="C150" s="51"/>
      <c r="D150" s="44"/>
      <c r="E150" s="57"/>
      <c r="F150" s="58"/>
    </row>
    <row r="151" spans="1:6" ht="21">
      <c r="A151" s="12"/>
      <c r="B151" s="56"/>
      <c r="C151" s="51"/>
      <c r="D151" s="44"/>
      <c r="E151" s="57"/>
      <c r="F151" s="58"/>
    </row>
    <row r="152" spans="1:6" ht="21">
      <c r="A152" s="12"/>
      <c r="B152" s="56"/>
      <c r="C152" s="51"/>
      <c r="D152" s="44"/>
      <c r="E152" s="57"/>
      <c r="F152" s="58"/>
    </row>
    <row r="153" spans="1:6" ht="21">
      <c r="A153" s="12"/>
      <c r="B153" s="56"/>
      <c r="C153" s="51"/>
      <c r="D153" s="44"/>
      <c r="E153" s="57"/>
      <c r="F153" s="58"/>
    </row>
    <row r="154" spans="1:6" ht="21">
      <c r="A154" s="131"/>
      <c r="B154" s="137"/>
      <c r="C154" s="132"/>
      <c r="D154" s="44"/>
      <c r="E154" s="57"/>
      <c r="F154" s="138"/>
    </row>
    <row r="155" spans="1:6" ht="21">
      <c r="A155" s="53"/>
      <c r="B155" s="65"/>
      <c r="C155" s="54"/>
      <c r="D155" s="66"/>
      <c r="E155" s="67"/>
      <c r="F155" s="68"/>
    </row>
    <row r="156" spans="1:6" ht="26.25">
      <c r="A156" s="173"/>
      <c r="B156" s="174"/>
      <c r="C156" s="174"/>
      <c r="D156" s="174"/>
      <c r="E156" s="174"/>
      <c r="F156" s="175"/>
    </row>
    <row r="157" spans="1:6" ht="21">
      <c r="A157" s="12"/>
      <c r="B157" s="6"/>
      <c r="C157" s="55"/>
      <c r="D157" s="14"/>
      <c r="E157" s="13"/>
      <c r="F157" s="45"/>
    </row>
    <row r="158" spans="1:6" ht="21">
      <c r="A158" s="12"/>
      <c r="B158" s="6"/>
      <c r="C158" s="6"/>
      <c r="D158" s="14"/>
      <c r="E158" s="5"/>
      <c r="F158" s="45"/>
    </row>
    <row r="159" spans="1:6" ht="21">
      <c r="A159" s="12"/>
      <c r="B159" s="6"/>
      <c r="C159" s="6"/>
      <c r="D159" s="14"/>
      <c r="E159" s="5"/>
      <c r="F159" s="14"/>
    </row>
    <row r="160" spans="1:6" ht="21">
      <c r="A160" s="12"/>
      <c r="B160" s="6"/>
      <c r="C160" s="6"/>
      <c r="D160" s="14"/>
      <c r="E160" s="5"/>
      <c r="F160" s="14"/>
    </row>
    <row r="161" spans="1:6" ht="21">
      <c r="A161" s="12"/>
      <c r="B161" s="6"/>
      <c r="C161" s="6"/>
      <c r="D161" s="14"/>
      <c r="E161" s="5"/>
      <c r="F161" s="14"/>
    </row>
    <row r="162" spans="1:6" ht="21">
      <c r="A162" s="12"/>
      <c r="B162" s="6"/>
      <c r="C162" s="6"/>
      <c r="D162" s="14"/>
      <c r="E162" s="5"/>
      <c r="F162" s="14"/>
    </row>
    <row r="163" spans="1:6" ht="21">
      <c r="A163" s="12"/>
      <c r="B163" s="6"/>
      <c r="C163" s="6"/>
      <c r="D163" s="14"/>
      <c r="E163" s="5"/>
      <c r="F163" s="14"/>
    </row>
    <row r="164" spans="1:6" ht="21">
      <c r="A164" s="12"/>
      <c r="B164" s="6"/>
      <c r="C164" s="6"/>
      <c r="D164" s="14"/>
      <c r="E164" s="5"/>
      <c r="F164" s="14"/>
    </row>
    <row r="165" spans="1:6" ht="21">
      <c r="A165" s="12"/>
      <c r="B165" s="6"/>
      <c r="C165" s="6"/>
      <c r="D165" s="14"/>
      <c r="E165" s="5"/>
      <c r="F165" s="45"/>
    </row>
    <row r="166" spans="1:6" ht="21">
      <c r="A166" s="59"/>
      <c r="B166" s="61"/>
      <c r="C166" s="6"/>
      <c r="D166" s="69"/>
      <c r="E166" s="63"/>
      <c r="F166" s="70"/>
    </row>
    <row r="167" spans="1:6" ht="21">
      <c r="A167" s="59"/>
      <c r="B167" s="61"/>
      <c r="C167" s="6"/>
      <c r="D167" s="69"/>
      <c r="E167" s="63"/>
      <c r="F167" s="70"/>
    </row>
    <row r="168" spans="1:6" ht="21">
      <c r="A168" s="59"/>
      <c r="B168" s="61"/>
      <c r="C168" s="6"/>
      <c r="D168" s="69"/>
      <c r="E168" s="63"/>
      <c r="F168" s="70"/>
    </row>
    <row r="169" spans="1:6" ht="21">
      <c r="A169" s="59"/>
      <c r="B169" s="61"/>
      <c r="C169" s="6"/>
      <c r="D169" s="69"/>
      <c r="E169" s="63"/>
      <c r="F169" s="70"/>
    </row>
    <row r="170" spans="1:6" ht="21">
      <c r="A170" s="59"/>
      <c r="B170" s="61"/>
      <c r="C170" s="6"/>
      <c r="D170" s="71"/>
      <c r="E170" s="63"/>
      <c r="F170" s="70"/>
    </row>
    <row r="171" spans="1:6" ht="21">
      <c r="A171" s="72"/>
      <c r="B171" s="73"/>
      <c r="C171" s="73"/>
      <c r="D171" s="71"/>
      <c r="E171" s="63"/>
      <c r="F171" s="74"/>
    </row>
    <row r="172" spans="1:6" ht="21">
      <c r="A172" s="72"/>
      <c r="B172" s="73"/>
      <c r="C172" s="73"/>
      <c r="D172" s="71"/>
      <c r="E172" s="63"/>
      <c r="F172" s="74"/>
    </row>
    <row r="173" spans="1:6" ht="21">
      <c r="A173" s="133"/>
      <c r="B173" s="134"/>
      <c r="C173" s="134"/>
      <c r="D173" s="135"/>
      <c r="E173" s="63"/>
      <c r="F173" s="136"/>
    </row>
  </sheetData>
  <mergeCells count="8">
    <mergeCell ref="A156:F156"/>
    <mergeCell ref="A135:F135"/>
    <mergeCell ref="A98:F98"/>
    <mergeCell ref="A1:B3"/>
    <mergeCell ref="C1:D3"/>
    <mergeCell ref="E1:E3"/>
    <mergeCell ref="F1:F3"/>
    <mergeCell ref="A5:F5"/>
  </mergeCells>
  <phoneticPr fontId="28" type="noConversion"/>
  <conditionalFormatting sqref="E6:E29 E136:E155 E31:E93 E105:E133">
    <cfRule type="containsText" dxfId="6745" priority="675" operator="containsText" text="on hold">
      <formula>NOT(ISERROR(SEARCH("on hold",E6)))</formula>
    </cfRule>
    <cfRule type="containsText" dxfId="6744" priority="686" operator="containsText" text="FAIL">
      <formula>NOT(ISERROR(SEARCH("FAIL",E6)))</formula>
    </cfRule>
    <cfRule type="containsText" dxfId="6743" priority="687" operator="containsText" text="PASS">
      <formula>NOT(ISERROR(SEARCH("PASS",E6)))</formula>
    </cfRule>
  </conditionalFormatting>
  <conditionalFormatting sqref="E136:E155 E100:E133">
    <cfRule type="containsText" dxfId="6742" priority="684" operator="containsText" text="FAIL">
      <formula>NOT(ISERROR(SEARCH("FAIL",E100)))</formula>
    </cfRule>
    <cfRule type="containsText" dxfId="6741" priority="685" operator="containsText" text="PASS">
      <formula>NOT(ISERROR(SEARCH("PASS",E100)))</formula>
    </cfRule>
  </conditionalFormatting>
  <conditionalFormatting sqref="E100:E127">
    <cfRule type="containsText" dxfId="6740" priority="669" operator="containsText" text="on hold">
      <formula>NOT(ISERROR(SEARCH("on hold",E100)))</formula>
    </cfRule>
    <cfRule type="containsText" dxfId="6739" priority="670" operator="containsText" text="FAIL">
      <formula>NOT(ISERROR(SEARCH("FAIL",E100)))</formula>
    </cfRule>
    <cfRule type="containsText" dxfId="6738" priority="671" operator="containsText" text="PASS">
      <formula>NOT(ISERROR(SEARCH("PASS",E100)))</formula>
    </cfRule>
  </conditionalFormatting>
  <conditionalFormatting sqref="E99:E133">
    <cfRule type="containsText" dxfId="6737" priority="339" operator="containsText" text="on hold">
      <formula>NOT(ISERROR(SEARCH("on hold",E99)))</formula>
    </cfRule>
    <cfRule type="containsText" dxfId="6736" priority="340" operator="containsText" text="FAIL">
      <formula>NOT(ISERROR(SEARCH("FAIL",E99)))</formula>
    </cfRule>
    <cfRule type="containsText" dxfId="6735" priority="341" operator="containsText" text="PASS">
      <formula>NOT(ISERROR(SEARCH("PASS",E99)))</formula>
    </cfRule>
  </conditionalFormatting>
  <conditionalFormatting sqref="E30">
    <cfRule type="containsText" dxfId="6734" priority="213" operator="containsText" text="on hold">
      <formula>NOT(ISERROR(SEARCH("on hold",E30)))</formula>
    </cfRule>
    <cfRule type="containsText" dxfId="6733" priority="214" operator="containsText" text="FAIL">
      <formula>NOT(ISERROR(SEARCH("FAIL",E30)))</formula>
    </cfRule>
    <cfRule type="containsText" dxfId="6732" priority="215" operator="containsText" text="PASS">
      <formula>NOT(ISERROR(SEARCH("PASS",E30)))</formula>
    </cfRule>
  </conditionalFormatting>
  <conditionalFormatting sqref="E157:E164">
    <cfRule type="containsText" dxfId="6731" priority="4" operator="containsText" text="on hold">
      <formula>NOT(ISERROR(SEARCH("on hold",E157)))</formula>
    </cfRule>
    <cfRule type="containsText" dxfId="6730" priority="5" operator="containsText" text="FAIL">
      <formula>NOT(ISERROR(SEARCH("FAIL",E157)))</formula>
    </cfRule>
    <cfRule type="containsText" dxfId="6729" priority="6" operator="containsText" text="PASS">
      <formula>NOT(ISERROR(SEARCH("PASS",E157)))</formula>
    </cfRule>
  </conditionalFormatting>
  <conditionalFormatting sqref="E165">
    <cfRule type="containsText" dxfId="6728" priority="1" operator="containsText" text="on hold">
      <formula>NOT(ISERROR(SEARCH("on hold",E165)))</formula>
    </cfRule>
    <cfRule type="containsText" dxfId="6727" priority="2" operator="containsText" text="FAIL">
      <formula>NOT(ISERROR(SEARCH("FAIL",E165)))</formula>
    </cfRule>
    <cfRule type="containsText" dxfId="6726" priority="3" operator="containsText" text="PASS">
      <formula>NOT(ISERROR(SEARCH("PASS",E165)))</formula>
    </cfRule>
  </conditionalFormatting>
  <hyperlinks>
    <hyperlink ref="A99" location="'TC78'!A1" display="T78" xr:uid="{00000000-0004-0000-0000-000000000000}"/>
    <hyperlink ref="A100" location="'TC79'!A1" display="T79" xr:uid="{00000000-0004-0000-0000-000001000000}"/>
    <hyperlink ref="A101" location="'TC80'!A1" display="T80" xr:uid="{00000000-0004-0000-0000-000002000000}"/>
    <hyperlink ref="A106" location="'TC85'!A1" display="T85" xr:uid="{00000000-0004-0000-0000-000003000000}"/>
    <hyperlink ref="A105" location="'TC84'!A1" display="T84" xr:uid="{00000000-0004-0000-0000-000004000000}"/>
    <hyperlink ref="A104" location="'TC83'!A1" display="T83" xr:uid="{00000000-0004-0000-0000-000005000000}"/>
    <hyperlink ref="A103" location="'TC82'!A1" display="T82" xr:uid="{00000000-0004-0000-0000-000006000000}"/>
    <hyperlink ref="A102" location="'TC81'!A1" display="T81" xr:uid="{00000000-0004-0000-0000-000007000000}"/>
    <hyperlink ref="A107" location="'TC86'!A1" display="TC86" xr:uid="{00000000-0004-0000-0000-000008000000}"/>
    <hyperlink ref="A108" location="'TC87'!A1" display="TC87" xr:uid="{00000000-0004-0000-0000-000009000000}"/>
    <hyperlink ref="A109" location="'TC88'!A1" display="TC88" xr:uid="{00000000-0004-0000-0000-00000A000000}"/>
    <hyperlink ref="A110" location="'TC89'!A1" display="TC89" xr:uid="{00000000-0004-0000-0000-00000B000000}"/>
    <hyperlink ref="A111" location="'TC90'!A1" display="TC90" xr:uid="{00000000-0004-0000-0000-00000C000000}"/>
    <hyperlink ref="A112" location="'TC91'!A1" display="TC91" xr:uid="{00000000-0004-0000-0000-00000D000000}"/>
    <hyperlink ref="A6" location="'TC1'!A1" display="TC1" xr:uid="{00000000-0004-0000-0000-00000E000000}"/>
    <hyperlink ref="A113" location="'TC92'!A1" display="TC92" xr:uid="{00000000-0004-0000-0000-00000F000000}"/>
    <hyperlink ref="A114" location="'TC93'!A1" display="TC93" xr:uid="{00000000-0004-0000-0000-000010000000}"/>
    <hyperlink ref="A115" location="'TC94'!A1" display="TC94" xr:uid="{00000000-0004-0000-0000-000011000000}"/>
    <hyperlink ref="A116" location="'TC95'!A1" display="TC95" xr:uid="{00000000-0004-0000-0000-000012000000}"/>
    <hyperlink ref="A117" location="'TC96'!A1" display="TC96" xr:uid="{00000000-0004-0000-0000-000013000000}"/>
    <hyperlink ref="A118" location="'TC97'!A1" display="TC97" xr:uid="{00000000-0004-0000-0000-000014000000}"/>
    <hyperlink ref="A119" location="'TC98'!A1" display="TC98" xr:uid="{00000000-0004-0000-0000-000015000000}"/>
    <hyperlink ref="A120" location="'TC99'!A1" display="TC99" xr:uid="{00000000-0004-0000-0000-000016000000}"/>
    <hyperlink ref="A7" location="'TC2'!A1" display="TC2" xr:uid="{00000000-0004-0000-0000-000017000000}"/>
    <hyperlink ref="A8" location="'TC3'!A1" display="TC3" xr:uid="{00000000-0004-0000-0000-000018000000}"/>
    <hyperlink ref="A9" location="'TC4'!A1" display="TC4" xr:uid="{00000000-0004-0000-0000-000019000000}"/>
    <hyperlink ref="A10" location="'TC5'!A1" display="TC5" xr:uid="{00000000-0004-0000-0000-00001A000000}"/>
    <hyperlink ref="A11" location="'TC6'!A1" display="TC6" xr:uid="{00000000-0004-0000-0000-00001B000000}"/>
    <hyperlink ref="A12" location="'TC7'!A1" display="TC7" xr:uid="{00000000-0004-0000-0000-00001C000000}"/>
    <hyperlink ref="A13" location="'TC8'!A1" display="TC8" xr:uid="{00000000-0004-0000-0000-00001D000000}"/>
    <hyperlink ref="A14" location="'TC9'!A1" display="TC9" xr:uid="{00000000-0004-0000-0000-00001E000000}"/>
    <hyperlink ref="A15" location="'TC10'!A1" display="TC10" xr:uid="{00000000-0004-0000-0000-00001F000000}"/>
    <hyperlink ref="A16" location="'TC11'!A1" display="TC11" xr:uid="{00000000-0004-0000-0000-000020000000}"/>
    <hyperlink ref="A17" location="'TC12'!A1" display="TC12" xr:uid="{00000000-0004-0000-0000-000021000000}"/>
    <hyperlink ref="A18" location="'TC13'!A1" display="TC13" xr:uid="{00000000-0004-0000-0000-000022000000}"/>
    <hyperlink ref="A19" location="'TC14'!A1" display="TC14" xr:uid="{00000000-0004-0000-0000-000023000000}"/>
    <hyperlink ref="A20" location="'TC15'!A1" display="TC15" xr:uid="{00000000-0004-0000-0000-000024000000}"/>
    <hyperlink ref="A21" location="'TC16'!A1" display="TC16" xr:uid="{00000000-0004-0000-0000-000025000000}"/>
    <hyperlink ref="A22" location="'TC17'!A1" display="TC17" xr:uid="{00000000-0004-0000-0000-000026000000}"/>
    <hyperlink ref="A23" location="'TC18'!A1" display="TC18" xr:uid="{00000000-0004-0000-0000-000027000000}"/>
    <hyperlink ref="A24" location="'TC19'!A1" display="TC19" xr:uid="{00000000-0004-0000-0000-000028000000}"/>
    <hyperlink ref="A25" location="'TC20'!A1" display="TC20" xr:uid="{00000000-0004-0000-0000-000029000000}"/>
    <hyperlink ref="A26" location="'TC21'!A1" display="TC21" xr:uid="{00000000-0004-0000-0000-00002A000000}"/>
    <hyperlink ref="A27" location="'TC22'!A1" display="TC22" xr:uid="{00000000-0004-0000-0000-00002B000000}"/>
    <hyperlink ref="A28" location="'TC23'!A1" display="TC23" xr:uid="{00000000-0004-0000-0000-00002C000000}"/>
    <hyperlink ref="A29" location="'TC24'!A1" display="TC24" xr:uid="{00000000-0004-0000-0000-00002D000000}"/>
    <hyperlink ref="A30" location="'TC25'!A1" display="TC25" xr:uid="{00000000-0004-0000-0000-00002E000000}"/>
    <hyperlink ref="A31" location="'TC26'!A1" display="TC26" xr:uid="{00000000-0004-0000-0000-00002F000000}"/>
    <hyperlink ref="A32" location="'TC27'!A1" display="TC27" xr:uid="{00000000-0004-0000-0000-000030000000}"/>
    <hyperlink ref="A33" location="'TC28'!A1" display="TC28" xr:uid="{00000000-0004-0000-0000-000031000000}"/>
    <hyperlink ref="A34" location="'TC29'!A1" display="TC29" xr:uid="{00000000-0004-0000-0000-000032000000}"/>
    <hyperlink ref="A35" location="'TC30'!A1" display="TC30" xr:uid="{00000000-0004-0000-0000-000033000000}"/>
    <hyperlink ref="A36" location="'TC31'!A1" display="TC31" xr:uid="{00000000-0004-0000-0000-000034000000}"/>
    <hyperlink ref="A37" location="'TC32'!A1" display="TC32" xr:uid="{00000000-0004-0000-0000-000035000000}"/>
    <hyperlink ref="A38" location="'TC33'!A1" display="TC33" xr:uid="{00000000-0004-0000-0000-000036000000}"/>
    <hyperlink ref="A39" location="'TC34'!A1" display="TC34" xr:uid="{00000000-0004-0000-0000-000037000000}"/>
    <hyperlink ref="A40" location="'TC35'!A1" display="TC35" xr:uid="{00000000-0004-0000-0000-000038000000}"/>
    <hyperlink ref="A41" location="'TC36'!A1" display="TC36" xr:uid="{00000000-0004-0000-0000-000039000000}"/>
    <hyperlink ref="A42" location="'TC37'!A1" display="TC37" xr:uid="{00000000-0004-0000-0000-00003A000000}"/>
    <hyperlink ref="A43" location="'TC38'!A1" display="TC38" xr:uid="{00000000-0004-0000-0000-00003B000000}"/>
    <hyperlink ref="A44" location="'TC39'!A1" display="TC39" xr:uid="{00000000-0004-0000-0000-00003C000000}"/>
    <hyperlink ref="A45" location="'TC40'!A1" display="TC40" xr:uid="{00000000-0004-0000-0000-00003D000000}"/>
    <hyperlink ref="A46" location="'TC41'!A1" display="TC41" xr:uid="{00000000-0004-0000-0000-00003E000000}"/>
    <hyperlink ref="A47" location="'TC42'!A1" display="TC42" xr:uid="{00000000-0004-0000-0000-00003F000000}"/>
    <hyperlink ref="A48" location="'TC43'!A1" display="TC43" xr:uid="{00000000-0004-0000-0000-000040000000}"/>
    <hyperlink ref="A49" location="'TC44'!A1" display="TC44" xr:uid="{00000000-0004-0000-0000-000041000000}"/>
    <hyperlink ref="A50" location="'TC45'!A1" display="TC45" xr:uid="{00000000-0004-0000-0000-000042000000}"/>
    <hyperlink ref="A51" location="'TC46'!A1" display="TC46" xr:uid="{00000000-0004-0000-0000-000043000000}"/>
    <hyperlink ref="A52" location="'TC47'!A1" display="TC47" xr:uid="{00000000-0004-0000-0000-000044000000}"/>
    <hyperlink ref="A53" location="'TC48'!A1" display="TC48" xr:uid="{00000000-0004-0000-0000-000045000000}"/>
    <hyperlink ref="A54" location="'TC49'!A1" display="TC49" xr:uid="{00000000-0004-0000-0000-000046000000}"/>
    <hyperlink ref="A55" location="'TC50'!A1" display="TC50" xr:uid="{00000000-0004-0000-0000-000047000000}"/>
    <hyperlink ref="A56" location="'TC51'!A1" display="TC51" xr:uid="{00000000-0004-0000-0000-000048000000}"/>
    <hyperlink ref="A57" location="'TC52'!A1" display="TC52" xr:uid="{00000000-0004-0000-0000-000049000000}"/>
    <hyperlink ref="A58" location="'TC53'!A1" display="TC53" xr:uid="{00000000-0004-0000-0000-00004A000000}"/>
    <hyperlink ref="A59" location="'TC54'!A1" display="TC54" xr:uid="{00000000-0004-0000-0000-00004B000000}"/>
    <hyperlink ref="A60" location="'TC55'!A1" display="TC55" xr:uid="{00000000-0004-0000-0000-00004C000000}"/>
    <hyperlink ref="A61" location="'TC56'!A1" display="TC56" xr:uid="{00000000-0004-0000-0000-00004D000000}"/>
    <hyperlink ref="A62" location="'TC57'!A1" display="TC57" xr:uid="{00000000-0004-0000-0000-00004E000000}"/>
    <hyperlink ref="A63" location="'TC58'!A1" display="TC58" xr:uid="{00000000-0004-0000-0000-00004F000000}"/>
    <hyperlink ref="A64" location="'TC59'!A1" display="TC59" xr:uid="{00000000-0004-0000-0000-000050000000}"/>
    <hyperlink ref="A65" location="'TC60'!A1" display="TC60" xr:uid="{00000000-0004-0000-0000-000051000000}"/>
    <hyperlink ref="A66" location="'TC61'!A1" display="TC61" xr:uid="{00000000-0004-0000-0000-000052000000}"/>
    <hyperlink ref="A67" location="'TC62'!A1" display="TC62" xr:uid="{00000000-0004-0000-0000-000053000000}"/>
    <hyperlink ref="A68" location="'TC63'!A1" display="TC63" xr:uid="{00000000-0004-0000-0000-000054000000}"/>
    <hyperlink ref="A69" location="'TC64'!A1" display="TC64" xr:uid="{00000000-0004-0000-0000-000055000000}"/>
    <hyperlink ref="A70" location="'TC65'!A1" display="TC65" xr:uid="{00000000-0004-0000-0000-000056000000}"/>
    <hyperlink ref="A71" location="'TC66'!A1" display="TC66" xr:uid="{00000000-0004-0000-0000-000057000000}"/>
    <hyperlink ref="A72" location="'TC67'!A1" display="TC67" xr:uid="{00000000-0004-0000-0000-000058000000}"/>
    <hyperlink ref="A73" location="'TC68'!A1" display="TC68" xr:uid="{00000000-0004-0000-0000-000059000000}"/>
    <hyperlink ref="A74" location="'TC69'!A1" display="TC69" xr:uid="{00000000-0004-0000-0000-00005A000000}"/>
    <hyperlink ref="A75" location="'TC70'!A1" display="TC70" xr:uid="{00000000-0004-0000-0000-00005B000000}"/>
    <hyperlink ref="A76" location="'TC71'!A1" display="TC71" xr:uid="{00000000-0004-0000-0000-00005C000000}"/>
    <hyperlink ref="A77" location="'TC72'!A1" display="TC72" xr:uid="{00000000-0004-0000-0000-00005D000000}"/>
    <hyperlink ref="A78" location="'TC73'!A1" display="TC73" xr:uid="{00000000-0004-0000-0000-00005E000000}"/>
    <hyperlink ref="A79" location="'TC74'!A1" display="TC74" xr:uid="{00000000-0004-0000-0000-00005F000000}"/>
    <hyperlink ref="A80" location="'TC75'!A1" display="TC75" xr:uid="{00000000-0004-0000-0000-000060000000}"/>
    <hyperlink ref="A81" location="'TC76'!A1" display="TC76" xr:uid="{00000000-0004-0000-0000-000061000000}"/>
    <hyperlink ref="A82" location="'TC77'!A1" display="TC77" xr:uid="{00000000-0004-0000-0000-000062000000}"/>
    <hyperlink ref="A121" location="'TC100'!A1" display="TC100" xr:uid="{00000000-0004-0000-0000-000063000000}"/>
    <hyperlink ref="A122" location="'TC101'!A1" display="TC101" xr:uid="{00000000-0004-0000-0000-000064000000}"/>
    <hyperlink ref="A123" location="'TC102'!A1" display="TC102" xr:uid="{00000000-0004-0000-0000-000065000000}"/>
    <hyperlink ref="A124" location="'TC103'!A1" display="TC103" xr:uid="{00000000-0004-0000-0000-000066000000}"/>
    <hyperlink ref="A125" location="'TC104'!A1" display="TC104" xr:uid="{00000000-0004-0000-0000-000067000000}"/>
    <hyperlink ref="A126" location="'TC105'!A1" display="TC105" xr:uid="{00000000-0004-0000-0000-000068000000}"/>
    <hyperlink ref="A127" location="'TC106'!A1" display="TC106" xr:uid="{00000000-0004-0000-0000-000069000000}"/>
    <hyperlink ref="A136" location="'TC107'!A1" display="TC107" xr:uid="{00000000-0004-0000-0000-00006A000000}"/>
    <hyperlink ref="A84" location="'TC109'!A1" display="TC109" xr:uid="{00000000-0004-0000-0000-00006B000000}"/>
    <hyperlink ref="A85" location="'TC110'!A1" display="TC110" xr:uid="{00000000-0004-0000-0000-00006C000000}"/>
    <hyperlink ref="A86" location="'TC111'!A1" display="TC111" xr:uid="{00000000-0004-0000-0000-00006D000000}"/>
    <hyperlink ref="A87" location="'TC112'!A1" display="TC112" xr:uid="{00000000-0004-0000-0000-00006E000000}"/>
    <hyperlink ref="A88" location="'TC113'!A1" display="TC113" xr:uid="{00000000-0004-0000-0000-00006F000000}"/>
    <hyperlink ref="A89" location="'TC114'!A1" display="TC114" xr:uid="{00000000-0004-0000-0000-000070000000}"/>
    <hyperlink ref="A90" location="'TC115'!A1" display="TC115" xr:uid="{00000000-0004-0000-0000-000071000000}"/>
    <hyperlink ref="A91" location="'TC116'!A1" display="TC116" xr:uid="{00000000-0004-0000-0000-000072000000}"/>
    <hyperlink ref="A92" location="'TC117'!A1" display="TC117" xr:uid="{00000000-0004-0000-0000-000073000000}"/>
    <hyperlink ref="A93" location="'TC118'!A1" display="TC118" xr:uid="{00000000-0004-0000-0000-000074000000}"/>
    <hyperlink ref="A94" location="'TC119'!A1" display="TC119" xr:uid="{00000000-0004-0000-0000-000075000000}"/>
    <hyperlink ref="A95" location="'TC120'!A1" display="TC120" xr:uid="{00000000-0004-0000-0000-000076000000}"/>
    <hyperlink ref="A83" location="'TC108'!A1" display="TC108" xr:uid="{00000000-0004-0000-0000-000077000000}"/>
  </hyperlinks>
  <pageMargins left="0.25" right="0.25" top="0.75" bottom="0.75" header="0.3" footer="0.3"/>
  <pageSetup scale="67" fitToHeight="0" orientation="landscape" r:id="rId1"/>
  <drawing r:id="rId2"/>
  <tableParts count="4">
    <tablePart r:id="rId3"/>
    <tablePart r:id="rId4"/>
    <tablePart r:id="rId5"/>
    <tablePart r:id="rId6"/>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E43"/>
  <sheetViews>
    <sheetView zoomScaleNormal="100" workbookViewId="0">
      <selection sqref="A1:B1"/>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8" t="s">
        <v>4</v>
      </c>
      <c r="B1" s="199"/>
      <c r="C1" s="101"/>
    </row>
    <row r="2" spans="1:5">
      <c r="A2" s="102" t="s">
        <v>5</v>
      </c>
      <c r="B2" s="103" t="str">
        <f ca="1">MID(CELL("filename",A1),FIND("]",CELL("filename",A1))+1,LEN(CELL("filename",A1))-FIND("]",CELL("filename",A1)))</f>
        <v>TC9</v>
      </c>
    </row>
    <row r="3" spans="1:5">
      <c r="A3" s="100" t="s">
        <v>19</v>
      </c>
      <c r="B3" s="108">
        <f ca="1">VLOOKUP(B2,Table1[#All],2,FALSE)</f>
        <v>0</v>
      </c>
    </row>
    <row r="4" spans="1:5" ht="30">
      <c r="A4" s="109" t="s">
        <v>20</v>
      </c>
      <c r="B4" s="95" t="str">
        <f ca="1">VLOOKUP(B2,Table1[#All],4,FALSE)</f>
        <v xml:space="preserve"> serviceType=chgOwnership, Not in progress or complete &lt;90days.</v>
      </c>
    </row>
    <row r="5" spans="1:5" ht="30">
      <c r="A5" s="100" t="s">
        <v>6</v>
      </c>
      <c r="B5" s="89" t="str">
        <f ca="1">VLOOKUP(B2,Table1[#All],3,FALSE)</f>
        <v>CallStart MM/title/ownership changes/ IDAuth=NotTrue IDAuthRetry=not true Xfer</v>
      </c>
    </row>
    <row r="7" spans="1:5" ht="15.75">
      <c r="A7" s="96" t="s">
        <v>7</v>
      </c>
      <c r="B7" s="97" t="s">
        <v>8</v>
      </c>
      <c r="C7" s="98" t="s">
        <v>9</v>
      </c>
      <c r="D7" s="98" t="s">
        <v>14</v>
      </c>
      <c r="E7" s="99" t="s">
        <v>10</v>
      </c>
    </row>
    <row r="8" spans="1:5">
      <c r="A8" s="114">
        <v>1</v>
      </c>
      <c r="B8" s="110" t="s">
        <v>114</v>
      </c>
      <c r="C8" s="124" t="s">
        <v>484</v>
      </c>
      <c r="D8" s="125"/>
      <c r="E8" s="122" t="s">
        <v>11</v>
      </c>
    </row>
    <row r="9" spans="1:5">
      <c r="A9" s="114">
        <v>2</v>
      </c>
      <c r="B9" s="110" t="s">
        <v>115</v>
      </c>
      <c r="C9" s="105" t="str">
        <f>VLOOKUP(Table2575525269111220212223[[#This Row],[PEG]],Table1016[#All],2,FALSE)</f>
        <v>CallID.wav Call ID &lt;CallID&gt;</v>
      </c>
      <c r="D9" s="145" t="s">
        <v>477</v>
      </c>
      <c r="E9" s="122" t="str">
        <f>VLOOKUP(Table2575525269111220212223[[#This Row],[PEG]],Table1016[#All],3,FALSE)</f>
        <v>TEST</v>
      </c>
    </row>
    <row r="10" spans="1:5" ht="30">
      <c r="A10" s="114">
        <v>3</v>
      </c>
      <c r="B10" s="110" t="s">
        <v>115</v>
      </c>
      <c r="C10" s="105" t="str">
        <f>VLOOKUP(Table2575525269111220212223[[#This Row],[PEG]],Table1016[#All],2,FALSE)</f>
        <v>0100.wav Thank you for calling Shell vacations Club, we are glad you called. Please have your account number available for faster service. [To continue in Spanish, press 9]</v>
      </c>
      <c r="D10" s="145">
        <v>100</v>
      </c>
      <c r="E10" s="122" t="str">
        <f>VLOOKUP(Table2575525269111220212223[[#This Row],[PEG]],Table1016[#All],3,FALSE)</f>
        <v>PLAY PROMPT</v>
      </c>
    </row>
    <row r="11" spans="1:5" ht="30">
      <c r="A11" s="114">
        <v>4</v>
      </c>
      <c r="B11" s="110" t="s">
        <v>115</v>
      </c>
      <c r="C11" s="105" t="str">
        <f>VLOOKUP(Table2575525269111220212223[[#This Row],[PEG]],Table1016[#All],2,FALSE)</f>
        <v>0110-1.wav Which would you like? You can say... reservations, payments &amp; statements, title &amp; ownership changes, or more options.</v>
      </c>
      <c r="D11" s="145">
        <v>110</v>
      </c>
      <c r="E11" s="122" t="str">
        <f>VLOOKUP(Table2575525269111220212223[[#This Row],[PEG]],Table1016[#All],3,FALSE)</f>
        <v>MENU PROMPT</v>
      </c>
    </row>
    <row r="12" spans="1:5">
      <c r="A12" s="114">
        <v>5</v>
      </c>
      <c r="B12" s="110" t="s">
        <v>124</v>
      </c>
      <c r="C12" s="105" t="s">
        <v>485</v>
      </c>
      <c r="D12" s="145"/>
      <c r="E12" s="122" t="e">
        <f>VLOOKUP(Table2575525269111220212223[[#This Row],[PEG]],Table1016[#All],3,FALSE)</f>
        <v>#N/A</v>
      </c>
    </row>
    <row r="13" spans="1:5" ht="30">
      <c r="A13" s="114">
        <v>6</v>
      </c>
      <c r="B13" s="110" t="s">
        <v>115</v>
      </c>
      <c r="C13" s="105" t="str">
        <f>VLOOKUP(Table2575525269111220212223[[#This Row],[PEG]],Table1016[#All],2,FALSE)</f>
        <v>0300-1.wav You can say ownership changes, check status, make a payment, or help me with something else. Which would you like?</v>
      </c>
      <c r="D13" s="145">
        <v>300</v>
      </c>
      <c r="E13" s="122" t="str">
        <f>VLOOKUP(Table2575525269111220212223[[#This Row],[PEG]],Table1016[#All],3,FALSE)</f>
        <v>MENU PROMPT</v>
      </c>
    </row>
    <row r="14" spans="1:5">
      <c r="A14" s="114">
        <v>7</v>
      </c>
      <c r="B14" s="110" t="s">
        <v>124</v>
      </c>
      <c r="C14" s="105" t="s">
        <v>486</v>
      </c>
      <c r="D14" s="125"/>
      <c r="E14" s="122" t="e">
        <f>VLOOKUP(Table2575525269111220212223[[#This Row],[PEG]],Table1016[#All],3,FALSE)</f>
        <v>#N/A</v>
      </c>
    </row>
    <row r="15" spans="1:5">
      <c r="A15" s="114">
        <v>8</v>
      </c>
      <c r="B15" s="110" t="s">
        <v>115</v>
      </c>
      <c r="C15" s="105" t="str">
        <f>VLOOKUP(Table2575525269111220212223[[#This Row],[PEG]],Table1016[#All],2,FALSE)</f>
        <v>0200-1.wav To get started, what is your account number?</v>
      </c>
      <c r="D15" s="112">
        <v>200</v>
      </c>
      <c r="E15" s="122" t="str">
        <f>VLOOKUP(Table2575525269111220212223[[#This Row],[PEG]],Table1016[#All],3,FALSE)</f>
        <v>MENU PROMPT</v>
      </c>
    </row>
    <row r="16" spans="1:5">
      <c r="A16" s="114">
        <v>9</v>
      </c>
      <c r="B16" s="110" t="s">
        <v>124</v>
      </c>
      <c r="C16" s="105" t="s">
        <v>483</v>
      </c>
      <c r="D16" s="112"/>
      <c r="E16" s="122" t="e">
        <f>VLOOKUP(Table2575525269111220212223[[#This Row],[PEG]],Table1016[#All],3,FALSE)</f>
        <v>#N/A</v>
      </c>
    </row>
    <row r="17" spans="1:5">
      <c r="A17" s="114">
        <v>10</v>
      </c>
      <c r="B17" s="110" t="s">
        <v>115</v>
      </c>
      <c r="C17" s="127" t="str">
        <f>VLOOKUP(Table2575525269111220212223[[#This Row],[PEG]],Table1016[#All],2,FALSE)</f>
        <v>0210-1.wav And the date of birth for the primary owner?</v>
      </c>
      <c r="D17" s="113">
        <v>210</v>
      </c>
      <c r="E17" s="122" t="str">
        <f>VLOOKUP(Table2575525269111220212223[[#This Row],[PEG]],Table1016[#All],3,FALSE)</f>
        <v>MENU PROMPT</v>
      </c>
    </row>
    <row r="18" spans="1:5">
      <c r="A18" s="114">
        <v>11</v>
      </c>
      <c r="B18" s="110" t="s">
        <v>114</v>
      </c>
      <c r="C18" s="105" t="s">
        <v>493</v>
      </c>
      <c r="D18" s="113"/>
      <c r="E18" s="122" t="e">
        <f>VLOOKUP(Table2575525269111220212223[[#This Row],[PEG]],Table1016[#All],3,FALSE)</f>
        <v>#N/A</v>
      </c>
    </row>
    <row r="19" spans="1:5" ht="30">
      <c r="A19" s="114">
        <v>12</v>
      </c>
      <c r="B19" s="110" t="s">
        <v>115</v>
      </c>
      <c r="C19" s="148" t="str">
        <f>VLOOKUP(Table2575525269111220212223[[#This Row],[PEG]],Table1016[#All],2,FALSE)</f>
        <v>0220.wav I couldn't find an account matching the information you provided. Let's try one more time. What is your account number?</v>
      </c>
      <c r="D19" s="113">
        <v>220</v>
      </c>
      <c r="E19" s="122" t="str">
        <f>VLOOKUP(Table2575525269111220212223[[#This Row],[PEG]],Table1016[#All],3,FALSE)</f>
        <v>MENU PROMPT</v>
      </c>
    </row>
    <row r="20" spans="1:5">
      <c r="A20" s="114">
        <v>13</v>
      </c>
      <c r="B20" s="110" t="s">
        <v>124</v>
      </c>
      <c r="C20" s="105" t="s">
        <v>503</v>
      </c>
      <c r="D20" s="113"/>
      <c r="E20" s="122" t="e">
        <f>VLOOKUP(Table2575525269111220212223[[#This Row],[PEG]],Table1016[#All],3,FALSE)</f>
        <v>#N/A</v>
      </c>
    </row>
    <row r="21" spans="1:5">
      <c r="A21" s="114">
        <v>14</v>
      </c>
      <c r="B21" s="110" t="s">
        <v>115</v>
      </c>
      <c r="C21" s="105" t="str">
        <f>VLOOKUP(Table2575525269111220212223[[#This Row],[PEG]],Table1016[#All],2,FALSE)</f>
        <v>0210-1.wav And the date of birth for the primary owner?</v>
      </c>
      <c r="D21" s="113">
        <v>210</v>
      </c>
      <c r="E21" s="122" t="str">
        <f>VLOOKUP(Table2575525269111220212223[[#This Row],[PEG]],Table1016[#All],3,FALSE)</f>
        <v>MENU PROMPT</v>
      </c>
    </row>
    <row r="22" spans="1:5">
      <c r="A22" s="114">
        <v>15</v>
      </c>
      <c r="B22" s="110" t="s">
        <v>114</v>
      </c>
      <c r="C22" s="105" t="s">
        <v>493</v>
      </c>
      <c r="D22" s="113"/>
      <c r="E22" s="122" t="e">
        <f>VLOOKUP(Table2575525269111220212223[[#This Row],[PEG]],Table1016[#All],3,FALSE)</f>
        <v>#N/A</v>
      </c>
    </row>
    <row r="23" spans="1:5">
      <c r="A23" s="114">
        <v>16</v>
      </c>
      <c r="B23" s="110" t="s">
        <v>115</v>
      </c>
      <c r="C23" s="105" t="str">
        <f>VLOOKUP(Table2575525269111220212223[[#This Row],[PEG]],Table1016[#All],2,FALSE)</f>
        <v>0900.wav Please hold, while I connect you to a customer service representative.</v>
      </c>
      <c r="D23" s="113">
        <v>900</v>
      </c>
      <c r="E23" s="122" t="str">
        <f>VLOOKUP(Table2575525269111220212223[[#This Row],[PEG]],Table1016[#All],3,FALSE)</f>
        <v>PLAY PROMPT</v>
      </c>
    </row>
    <row r="24" spans="1:5">
      <c r="A24" s="114">
        <v>17</v>
      </c>
      <c r="B24" s="110" t="s">
        <v>115</v>
      </c>
      <c r="C24" s="105" t="str">
        <f>VLOOKUP(Table2575525269111220212223[[#This Row],[PEG]],Table1016[#All],2,FALSE)</f>
        <v>XferNbr.wav Transfer Number &lt;TransferNbr&gt;</v>
      </c>
      <c r="D24" s="113" t="s">
        <v>480</v>
      </c>
      <c r="E24" s="122" t="str">
        <f>VLOOKUP(Table2575525269111220212223[[#This Row],[PEG]],Table1016[#All],3,FALSE)</f>
        <v>TEST</v>
      </c>
    </row>
    <row r="25" spans="1:5">
      <c r="A25" s="114">
        <v>18</v>
      </c>
      <c r="B25" s="110" t="s">
        <v>13</v>
      </c>
      <c r="C25" s="105" t="s">
        <v>13</v>
      </c>
      <c r="D25" s="111"/>
      <c r="E25" s="31"/>
    </row>
    <row r="26" spans="1:5">
      <c r="C26" s="25"/>
      <c r="D26" s="107" t="s">
        <v>0</v>
      </c>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5"/>
    </row>
    <row r="39" spans="3:3">
      <c r="C39" s="25"/>
    </row>
    <row r="40" spans="3:3">
      <c r="C40" s="25"/>
    </row>
    <row r="41" spans="3:3">
      <c r="C41" s="26"/>
    </row>
    <row r="42" spans="3:3">
      <c r="C42" s="26"/>
    </row>
    <row r="43" spans="3:3">
      <c r="C43" s="26"/>
    </row>
  </sheetData>
  <mergeCells count="1">
    <mergeCell ref="A1:B1"/>
  </mergeCells>
  <conditionalFormatting sqref="E25">
    <cfRule type="containsText" dxfId="6480" priority="33" operator="containsText" text="WEB SERVICE">
      <formula>NOT(ISERROR(SEARCH("WEB SERVICE",E25)))</formula>
    </cfRule>
    <cfRule type="containsText" dxfId="6479" priority="34" operator="containsText" text="DB">
      <formula>NOT(ISERROR(SEARCH("DB",E25)))</formula>
    </cfRule>
  </conditionalFormatting>
  <conditionalFormatting sqref="C26:C9982 C20:C24">
    <cfRule type="expression" dxfId="6478" priority="36">
      <formula>$B20="Dial"</formula>
    </cfRule>
    <cfRule type="expression" dxfId="6477" priority="38">
      <formula>$B20="HANGUP"</formula>
    </cfRule>
  </conditionalFormatting>
  <conditionalFormatting sqref="C19">
    <cfRule type="expression" dxfId="6476" priority="5">
      <formula>$B19="Dial"</formula>
    </cfRule>
    <cfRule type="expression" dxfId="6475" priority="6">
      <formula>$B19="HANGUP"</formula>
    </cfRule>
  </conditionalFormatting>
  <conditionalFormatting sqref="B8:B25">
    <cfRule type="containsText" dxfId="6474" priority="9" operator="containsText" text="Hear">
      <formula>NOT(ISERROR(SEARCH("Hear",B8)))</formula>
    </cfRule>
  </conditionalFormatting>
  <conditionalFormatting sqref="C25 C9:C16 C18">
    <cfRule type="expression" dxfId="6473" priority="10">
      <formula>$B9="Dial"</formula>
    </cfRule>
    <cfRule type="expression" dxfId="6472" priority="12">
      <formula>$B9="HANGUP"</formula>
    </cfRule>
  </conditionalFormatting>
  <conditionalFormatting sqref="C9:C16 C18 C20:C25">
    <cfRule type="expression" dxfId="6471" priority="11">
      <formula>$B9="Speak"</formula>
    </cfRule>
  </conditionalFormatting>
  <conditionalFormatting sqref="C17">
    <cfRule type="expression" dxfId="6470" priority="7">
      <formula>$B17="Dial"</formula>
    </cfRule>
    <cfRule type="expression" dxfId="6469" priority="8">
      <formula>$B17="HANGUP"</formula>
    </cfRule>
  </conditionalFormatting>
  <conditionalFormatting sqref="C8">
    <cfRule type="expression" dxfId="6468" priority="3">
      <formula>$B8="Dial"</formula>
    </cfRule>
    <cfRule type="expression" dxfId="6467" priority="4">
      <formula>$B8="HANGUP"</formula>
    </cfRule>
  </conditionalFormatting>
  <conditionalFormatting sqref="C22">
    <cfRule type="expression" dxfId="6466" priority="1">
      <formula>$B22="Dial"</formula>
    </cfRule>
    <cfRule type="expression" dxfId="6465" priority="2">
      <formula>$B22="HANGUP"</formula>
    </cfRule>
  </conditionalFormatting>
  <hyperlinks>
    <hyperlink ref="A1" location="'Test Case Overview'!A1" display="Return to Test Case Overview" xr:uid="{00000000-0004-0000-09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27" operator="containsText" text="WEB SERVICE" id="{C904952C-85E4-47CC-8EB0-44ED166E75B6}">
            <xm:f>NOT(ISERROR(SEARCH("WEB SERVICE",'TC1'!E10)))</xm:f>
            <x14:dxf>
              <font>
                <color rgb="FF9C0006"/>
              </font>
              <fill>
                <patternFill>
                  <bgColor rgb="FFFFC7CE"/>
                </patternFill>
              </fill>
            </x14:dxf>
          </x14:cfRule>
          <x14:cfRule type="containsText" priority="28" operator="containsText" text="DB" id="{256EFE65-224A-4D86-99CC-156CB510A8EE}">
            <xm:f>NOT(ISERROR(SEARCH("DB",'TC1'!E10)))</xm:f>
            <x14:dxf>
              <font>
                <color rgb="FF006100"/>
              </font>
              <fill>
                <patternFill>
                  <bgColor rgb="FFC6EFCE"/>
                </patternFill>
              </fill>
            </x14:dxf>
          </x14:cfRule>
          <xm:sqref>E9:E12</xm:sqref>
        </x14:conditionalFormatting>
        <x14:conditionalFormatting xmlns:xm="http://schemas.microsoft.com/office/excel/2006/main">
          <x14:cfRule type="containsText" priority="727" operator="containsText" text="WEB SERVICE" id="{C904952C-85E4-47CC-8EB0-44ED166E75B6}">
            <xm:f>NOT(ISERROR(SEARCH("WEB SERVICE",'TC1'!#REF!)))</xm:f>
            <x14:dxf>
              <font>
                <color rgb="FF9C0006"/>
              </font>
              <fill>
                <patternFill>
                  <bgColor rgb="FFFFC7CE"/>
                </patternFill>
              </fill>
            </x14:dxf>
          </x14:cfRule>
          <x14:cfRule type="containsText" priority="728" operator="containsText" text="DB" id="{256EFE65-224A-4D86-99CC-156CB510A8EE}">
            <xm:f>NOT(ISERROR(SEARCH("DB",'TC1'!#REF!)))</xm:f>
            <x14:dxf>
              <font>
                <color rgb="FF006100"/>
              </font>
              <fill>
                <patternFill>
                  <bgColor rgb="FFC6EFCE"/>
                </patternFill>
              </fill>
            </x14:dxf>
          </x14:cfRule>
          <xm:sqref>E13:E24</xm:sqref>
        </x14:conditionalFormatting>
      </x14:conditionalFormattings>
    </ext>
  </extLst>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codeName="Sheet101"/>
  <dimension ref="A1:E39"/>
  <sheetViews>
    <sheetView zoomScaleNormal="100" workbookViewId="0">
      <selection activeCell="C21" sqref="C21"/>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TC99</v>
      </c>
    </row>
    <row r="3" spans="1:5">
      <c r="A3" s="100" t="s">
        <v>19</v>
      </c>
      <c r="B3" s="108">
        <f ca="1">VLOOKUP(B2,Table53[#All],2,FALSE)</f>
        <v>0</v>
      </c>
    </row>
    <row r="4" spans="1:5" ht="45">
      <c r="A4" s="109" t="s">
        <v>20</v>
      </c>
      <c r="B4" s="95" t="str">
        <f ca="1">VLOOKUP(B2,Table53[#All],4,FALSE)</f>
        <v>svcArea=titleSvcs, serviceType=chgOwnership, Not in progress or complete &lt;90days. 325-W-ND-E</v>
      </c>
      <c r="C4" s="94" t="s">
        <v>260</v>
      </c>
    </row>
    <row r="5" spans="1:5" ht="45">
      <c r="A5" s="100" t="s">
        <v>6</v>
      </c>
      <c r="B5" s="75" t="str">
        <f ca="1">VLOOKUP(B2,Table53[#All],3,FALSE)</f>
        <v xml:space="preserve">CallStart Main Menu /Title /Ownership changes/ID Auth=True/ change name at ChangeMenu/HU after hearing peg 0330 </v>
      </c>
    </row>
    <row r="7" spans="1:5" ht="15.75">
      <c r="A7" s="96" t="s">
        <v>7</v>
      </c>
      <c r="B7" s="97" t="s">
        <v>8</v>
      </c>
      <c r="C7" s="98" t="s">
        <v>9</v>
      </c>
      <c r="D7" s="98" t="s">
        <v>14</v>
      </c>
      <c r="E7" s="99" t="s">
        <v>10</v>
      </c>
    </row>
    <row r="8" spans="1:5">
      <c r="A8" s="114">
        <v>1</v>
      </c>
      <c r="B8" s="110" t="s">
        <v>114</v>
      </c>
      <c r="C8" s="105" t="s">
        <v>125</v>
      </c>
      <c r="D8" s="125"/>
      <c r="E8" s="122" t="s">
        <v>11</v>
      </c>
    </row>
    <row r="9" spans="1:5" s="93" customFormat="1">
      <c r="A9" s="114">
        <v>2</v>
      </c>
      <c r="B9" s="110" t="s">
        <v>115</v>
      </c>
      <c r="C9" s="105" t="str">
        <f>VLOOKUP(Table25751991[[#This Row],[PEG]],Table1016[#All],2,FALSE)</f>
        <v>CallID.wav Call ID &lt;CallID&gt;</v>
      </c>
      <c r="D9" s="152" t="s">
        <v>477</v>
      </c>
      <c r="E9" s="122" t="str">
        <f>VLOOKUP(Table25751991[[#This Row],[PEG]],Table1016[#All],3,FALSE)</f>
        <v>TEST</v>
      </c>
    </row>
    <row r="10" spans="1:5" s="93" customFormat="1" ht="30">
      <c r="A10" s="114">
        <v>3</v>
      </c>
      <c r="B10" s="110" t="s">
        <v>115</v>
      </c>
      <c r="C10" s="105" t="str">
        <f>VLOOKUP(Table25751991[[#This Row],[PEG]],Table1016[#All],2,FALSE)</f>
        <v>0100.wav Thank you for calling Shell vacations Club, we are glad you called. Please have your account number available for faster service. [To continue in Spanish, press 9]</v>
      </c>
      <c r="D10" s="152">
        <v>100</v>
      </c>
      <c r="E10" s="122" t="str">
        <f>VLOOKUP(Table25751991[[#This Row],[PEG]],Table1016[#All],3,FALSE)</f>
        <v>PLAY PROMPT</v>
      </c>
    </row>
    <row r="11" spans="1:5" s="93" customFormat="1" ht="30">
      <c r="A11" s="114">
        <v>4</v>
      </c>
      <c r="B11" s="110" t="s">
        <v>115</v>
      </c>
      <c r="C11" s="105" t="str">
        <f>VLOOKUP(Table25751991[[#This Row],[PEG]],Table1016[#All],2,FALSE)</f>
        <v>0110-1.wav Which would you like? You can say... reservations, payments &amp; statements, title &amp; ownership changes, or more options.</v>
      </c>
      <c r="D11" s="152">
        <v>110</v>
      </c>
      <c r="E11" s="122" t="str">
        <f>VLOOKUP(Table25751991[[#This Row],[PEG]],Table1016[#All],3,FALSE)</f>
        <v>MENU PROMPT</v>
      </c>
    </row>
    <row r="12" spans="1:5" s="93" customFormat="1">
      <c r="A12" s="114">
        <v>5</v>
      </c>
      <c r="B12" s="110" t="s">
        <v>124</v>
      </c>
      <c r="C12" s="151" t="s">
        <v>486</v>
      </c>
      <c r="D12" s="152"/>
      <c r="E12" s="122" t="e">
        <f>VLOOKUP(Table25751991[[#This Row],[PEG]],Table1016[#All],3,FALSE)</f>
        <v>#N/A</v>
      </c>
    </row>
    <row r="13" spans="1:5" s="93" customFormat="1" ht="30">
      <c r="A13" s="114">
        <v>6</v>
      </c>
      <c r="B13" s="110" t="s">
        <v>115</v>
      </c>
      <c r="C13" s="105" t="str">
        <f>VLOOKUP(Table25751991[[#This Row],[PEG]],Table1016[#All],2,FALSE)</f>
        <v>0300-1.wav You can say ownership changes, check status, make a payment, or help me with something else. Which would you like?</v>
      </c>
      <c r="D13" s="152">
        <v>300</v>
      </c>
      <c r="E13" s="122" t="str">
        <f>VLOOKUP(Table25751991[[#This Row],[PEG]],Table1016[#All],3,FALSE)</f>
        <v>MENU PROMPT</v>
      </c>
    </row>
    <row r="14" spans="1:5" s="93" customFormat="1">
      <c r="A14" s="114">
        <v>7</v>
      </c>
      <c r="B14" s="110" t="s">
        <v>124</v>
      </c>
      <c r="C14" s="151" t="s">
        <v>527</v>
      </c>
      <c r="D14" s="125"/>
      <c r="E14" s="122" t="e">
        <f>VLOOKUP(Table25751991[[#This Row],[PEG]],Table1016[#All],3,FALSE)</f>
        <v>#N/A</v>
      </c>
    </row>
    <row r="15" spans="1:5">
      <c r="A15" s="114">
        <v>8</v>
      </c>
      <c r="B15" s="110" t="s">
        <v>115</v>
      </c>
      <c r="C15" s="105" t="str">
        <f>VLOOKUP(Table25751991[[#This Row],[PEG]],Table1016[#All],2,FALSE)</f>
        <v>0200-1.wav To get started, what is your account number?</v>
      </c>
      <c r="D15" s="153">
        <v>200</v>
      </c>
      <c r="E15" s="122" t="str">
        <f>VLOOKUP(Table25751991[[#This Row],[PEG]],Table1016[#All],3,FALSE)</f>
        <v>MENU PROMPT</v>
      </c>
    </row>
    <row r="16" spans="1:5">
      <c r="A16" s="114">
        <v>9</v>
      </c>
      <c r="B16" s="110" t="s">
        <v>114</v>
      </c>
      <c r="C16" s="151" t="s">
        <v>515</v>
      </c>
      <c r="D16" s="112"/>
      <c r="E16" s="122" t="e">
        <f>VLOOKUP(Table25751991[[#This Row],[PEG]],Table1016[#All],3,FALSE)</f>
        <v>#N/A</v>
      </c>
    </row>
    <row r="17" spans="1:5">
      <c r="A17" s="114">
        <v>10</v>
      </c>
      <c r="B17" s="110" t="s">
        <v>115</v>
      </c>
      <c r="C17" s="105" t="str">
        <f>VLOOKUP(Table25751991[[#This Row],[PEG]],Table1016[#All],2,FALSE)</f>
        <v>0210-1.wav And the date of birth for the primary owner?</v>
      </c>
      <c r="D17" s="154">
        <v>210</v>
      </c>
      <c r="E17" s="122" t="str">
        <f>VLOOKUP(Table25751991[[#This Row],[PEG]],Table1016[#All],3,FALSE)</f>
        <v>MENU PROMPT</v>
      </c>
    </row>
    <row r="18" spans="1:5">
      <c r="A18" s="114">
        <v>11</v>
      </c>
      <c r="B18" s="110" t="s">
        <v>124</v>
      </c>
      <c r="C18" s="151" t="s">
        <v>524</v>
      </c>
      <c r="D18" s="113"/>
      <c r="E18" s="122" t="e">
        <f>VLOOKUP(Table25751991[[#This Row],[PEG]],Table1016[#All],3,FALSE)</f>
        <v>#N/A</v>
      </c>
    </row>
    <row r="19" spans="1:5" ht="45">
      <c r="A19" s="114">
        <v>12</v>
      </c>
      <c r="B19" s="110" t="s">
        <v>115</v>
      </c>
      <c r="C19" s="105" t="str">
        <f>VLOOKUP(Table25751991[[#This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54">
        <v>320</v>
      </c>
      <c r="E19" s="122" t="str">
        <f>VLOOKUP(Table25751991[[#This Row],[PEG]],Table1016[#All],3,FALSE)</f>
        <v>MENU PROMPT</v>
      </c>
    </row>
    <row r="20" spans="1:5">
      <c r="A20" s="114">
        <v>13</v>
      </c>
      <c r="B20" s="110" t="s">
        <v>124</v>
      </c>
      <c r="C20" s="151" t="s">
        <v>561</v>
      </c>
      <c r="D20" s="113"/>
      <c r="E20" s="122" t="e">
        <f>VLOOKUP(Table25751991[[#This Row],[PEG]],Table1016[#All],3,FALSE)</f>
        <v>#N/A</v>
      </c>
    </row>
    <row r="21" spans="1:5" ht="60">
      <c r="A21" s="114">
        <v>14</v>
      </c>
      <c r="B21" s="110" t="s">
        <v>115</v>
      </c>
      <c r="C21" s="105" t="str">
        <f>VLOOKUP(Table25751991[[#This Row],[PEG]],Table1016[#All],2,FALSE)</f>
        <v>Wyndham requires a copy of the court documents such as a marriage certificate or divorce decree to be submitted along with a government issued ID showing your name change. Please send the information to 6277 Sea Harbor Drive, Orlando, Florida 32821, attention, Worldmark Ownership Change or via email to worldmarkownershipchange@wyn.com.</v>
      </c>
      <c r="D21" s="94" t="s">
        <v>260</v>
      </c>
      <c r="E21" s="122" t="str">
        <f>VLOOKUP(Table25751991[[#This Row],[PEG]],Table1016[#All],3,FALSE)</f>
        <v>PLAY PROMPT</v>
      </c>
    </row>
    <row r="22" spans="1:5" ht="30">
      <c r="A22" s="114">
        <v>15</v>
      </c>
      <c r="B22" s="110" t="s">
        <v>115</v>
      </c>
      <c r="C22" s="105" t="str">
        <f>VLOOKUP(Table25751991[[#This Row],[PEG]],Table1016[#All],2,FALSE)</f>
        <v>0330-1.wav To hear this information again, say repeat that. If you would like me to send you a letter with instructions to start the process, say information letter.</v>
      </c>
      <c r="D22" s="154">
        <v>330</v>
      </c>
      <c r="E22" s="122" t="str">
        <f>VLOOKUP(Table25751991[[#This Row],[PEG]],Table1016[#All],3,FALSE)</f>
        <v>MENU PROMPT</v>
      </c>
    </row>
    <row r="23" spans="1:5">
      <c r="A23" s="114">
        <v>16</v>
      </c>
      <c r="B23" s="110" t="s">
        <v>13</v>
      </c>
      <c r="C23" s="17" t="s">
        <v>13</v>
      </c>
      <c r="D23" s="111"/>
      <c r="E23" s="31"/>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6"/>
    </row>
    <row r="38" spans="3:3">
      <c r="C38" s="26"/>
    </row>
    <row r="39" spans="3:3">
      <c r="C39" s="26"/>
    </row>
  </sheetData>
  <mergeCells count="1">
    <mergeCell ref="A1:B1"/>
  </mergeCells>
  <conditionalFormatting sqref="C24:C9978">
    <cfRule type="expression" dxfId="3184" priority="67">
      <formula>$B24="Dial"</formula>
    </cfRule>
    <cfRule type="expression" dxfId="3183" priority="69">
      <formula>$B24="HANGUP"</formula>
    </cfRule>
  </conditionalFormatting>
  <conditionalFormatting sqref="B23">
    <cfRule type="containsText" dxfId="3182" priority="19" operator="containsText" text="Hear">
      <formula>NOT(ISERROR(SEARCH("Hear",B23)))</formula>
    </cfRule>
  </conditionalFormatting>
  <conditionalFormatting sqref="E23">
    <cfRule type="containsText" dxfId="3181" priority="27" operator="containsText" text="WEB SERVICE">
      <formula>NOT(ISERROR(SEARCH("WEB SERVICE",E23)))</formula>
    </cfRule>
    <cfRule type="containsText" dxfId="3180" priority="28" operator="containsText" text="DB">
      <formula>NOT(ISERROR(SEARCH("DB",E23)))</formula>
    </cfRule>
  </conditionalFormatting>
  <conditionalFormatting sqref="C23">
    <cfRule type="expression" dxfId="3179" priority="30">
      <formula>$B23="Dial"</formula>
    </cfRule>
    <cfRule type="expression" dxfId="3178" priority="32">
      <formula>$B23="HANGUP"</formula>
    </cfRule>
  </conditionalFormatting>
  <conditionalFormatting sqref="C23">
    <cfRule type="expression" dxfId="3177" priority="31">
      <formula>$B23="Speak"</formula>
    </cfRule>
  </conditionalFormatting>
  <conditionalFormatting sqref="B8">
    <cfRule type="containsText" dxfId="3176" priority="16" operator="containsText" text="Hear">
      <formula>NOT(ISERROR(SEARCH("Hear",B8)))</formula>
    </cfRule>
  </conditionalFormatting>
  <conditionalFormatting sqref="B20:B22">
    <cfRule type="containsText" dxfId="3175" priority="15" operator="containsText" text="Hear">
      <formula>NOT(ISERROR(SEARCH("Hear",B20)))</formula>
    </cfRule>
  </conditionalFormatting>
  <conditionalFormatting sqref="B18:B19">
    <cfRule type="containsText" dxfId="3174" priority="14" operator="containsText" text="Hear">
      <formula>NOT(ISERROR(SEARCH("Hear",B18)))</formula>
    </cfRule>
  </conditionalFormatting>
  <conditionalFormatting sqref="B9:B17">
    <cfRule type="containsText" dxfId="3173" priority="13" operator="containsText" text="Hear">
      <formula>NOT(ISERROR(SEARCH("Hear",B9)))</formula>
    </cfRule>
  </conditionalFormatting>
  <hyperlinks>
    <hyperlink ref="A1" location="'Test Case Overview'!A1" display="Return to Test Case Overview" xr:uid="{00000000-0004-0000-63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3" id="{15F24D13-67DB-429B-AE0A-6B3EA3E8047F}">
            <xm:f>'TC1'!$B8="HANGUP"</xm:f>
            <x14:dxf>
              <font>
                <b/>
                <i val="0"/>
              </font>
            </x14:dxf>
          </x14:cfRule>
          <x14:cfRule type="expression" priority="24" id="{011FF4F5-E58C-4A37-A9F8-5CB13402E6FD}">
            <xm:f>'TC1'!$B8="Dial"</xm:f>
            <x14:dxf>
              <font>
                <b/>
                <i val="0"/>
                <color rgb="FFFF0000"/>
              </font>
            </x14:dxf>
          </x14:cfRule>
          <xm:sqref>C8</xm:sqref>
        </x14:conditionalFormatting>
        <x14:conditionalFormatting xmlns:xm="http://schemas.microsoft.com/office/excel/2006/main">
          <x14:cfRule type="expression" priority="25" id="{6E4B8264-3229-4352-8F24-026FF23634CD}">
            <xm:f>'TC1'!$B8="Speak"</xm:f>
            <x14:dxf>
              <font>
                <b/>
                <i val="0"/>
                <color rgb="FFFF0000"/>
              </font>
            </x14:dxf>
          </x14:cfRule>
          <xm:sqref>C8</xm:sqref>
        </x14:conditionalFormatting>
        <x14:conditionalFormatting xmlns:xm="http://schemas.microsoft.com/office/excel/2006/main">
          <x14:cfRule type="containsText" priority="22" operator="containsText" text="DB" id="{6B2D435E-8388-45F9-BB96-3D2A1EFB2A69}">
            <xm:f>NOT(ISERROR(SEARCH("DB",'TC1'!E10)))</xm:f>
            <x14:dxf>
              <font>
                <color rgb="FF006100"/>
              </font>
              <fill>
                <patternFill>
                  <bgColor rgb="FFC6EFCE"/>
                </patternFill>
              </fill>
            </x14:dxf>
          </x14:cfRule>
          <x14:cfRule type="containsText" priority="26" operator="containsText" text="WEB SERVICE" id="{1682C3D6-030D-4A53-815A-41671E08B1A0}">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2263" id="{15F24D13-67DB-429B-AE0A-6B3EA3E8047F}">
            <xm:f>'TC1'!#REF!="HANGUP"</xm:f>
            <x14:dxf>
              <font>
                <b/>
                <i val="0"/>
              </font>
            </x14:dxf>
          </x14:cfRule>
          <x14:cfRule type="expression" priority="2264" id="{011FF4F5-E58C-4A37-A9F8-5CB13402E6FD}">
            <xm:f>'TC1'!#REF!="Dial"</xm:f>
            <x14:dxf>
              <font>
                <b/>
                <i val="0"/>
                <color rgb="FFFF0000"/>
              </font>
            </x14:dxf>
          </x14:cfRule>
          <xm:sqref>C13 C15 C17 C19:C22</xm:sqref>
        </x14:conditionalFormatting>
        <x14:conditionalFormatting xmlns:xm="http://schemas.microsoft.com/office/excel/2006/main">
          <x14:cfRule type="expression" priority="2269" id="{6E4B8264-3229-4352-8F24-026FF23634CD}">
            <xm:f>'TC1'!#REF!="Speak"</xm:f>
            <x14:dxf>
              <font>
                <b/>
                <i val="0"/>
                <color rgb="FFFF0000"/>
              </font>
            </x14:dxf>
          </x14:cfRule>
          <xm:sqref>C13 C15 C17 C19:C22</xm:sqref>
        </x14:conditionalFormatting>
        <x14:conditionalFormatting xmlns:xm="http://schemas.microsoft.com/office/excel/2006/main">
          <x14:cfRule type="containsText" priority="2275" operator="containsText" text="DB" id="{6B2D435E-8388-45F9-BB96-3D2A1EFB2A69}">
            <xm:f>NOT(ISERROR(SEARCH("DB",'TC1'!#REF!)))</xm:f>
            <x14:dxf>
              <font>
                <color rgb="FF006100"/>
              </font>
              <fill>
                <patternFill>
                  <bgColor rgb="FFC6EFCE"/>
                </patternFill>
              </fill>
            </x14:dxf>
          </x14:cfRule>
          <x14:cfRule type="containsText" priority="2276" operator="containsText" text="WEB SERVICE" id="{1682C3D6-030D-4A53-815A-41671E08B1A0}">
            <xm:f>NOT(ISERROR(SEARCH("WEB SERVICE",'TC1'!#REF!)))</xm:f>
            <x14:dxf>
              <font>
                <color rgb="FF9C0006"/>
              </font>
              <fill>
                <patternFill>
                  <bgColor rgb="FFFFC7CE"/>
                </patternFill>
              </fill>
            </x14:dxf>
          </x14:cfRule>
          <xm:sqref>E13:E22</xm:sqref>
        </x14:conditionalFormatting>
        <x14:conditionalFormatting xmlns:xm="http://schemas.microsoft.com/office/excel/2006/main">
          <x14:cfRule type="expression" priority="4165" id="{15F24D13-67DB-429B-AE0A-6B3EA3E8047F}">
            <xm:f>'TC1'!$B10="HANGUP"</xm:f>
            <x14:dxf>
              <font>
                <b/>
                <i val="0"/>
              </font>
            </x14:dxf>
          </x14:cfRule>
          <x14:cfRule type="expression" priority="4166" id="{011FF4F5-E58C-4A37-A9F8-5CB13402E6FD}">
            <xm:f>'TC1'!$B10="Dial"</xm:f>
            <x14:dxf>
              <font>
                <b/>
                <i val="0"/>
                <color rgb="FFFF0000"/>
              </font>
            </x14:dxf>
          </x14:cfRule>
          <xm:sqref>C9:C11</xm:sqref>
        </x14:conditionalFormatting>
        <x14:conditionalFormatting xmlns:xm="http://schemas.microsoft.com/office/excel/2006/main">
          <x14:cfRule type="expression" priority="4168" id="{6E4B8264-3229-4352-8F24-026FF23634CD}">
            <xm:f>'TC1'!$B10="Speak"</xm:f>
            <x14:dxf>
              <font>
                <b/>
                <i val="0"/>
                <color rgb="FFFF0000"/>
              </font>
            </x14:dxf>
          </x14:cfRule>
          <xm:sqref>C9:C11</xm:sqref>
        </x14:conditionalFormatting>
        <x14:conditionalFormatting xmlns:xm="http://schemas.microsoft.com/office/excel/2006/main">
          <x14:cfRule type="expression" priority="10" id="{8AFBA1F4-8096-402A-A53B-F079F8192FB7}">
            <xm:f>'TC1'!#REF!="HANGUP"</xm:f>
            <x14:dxf>
              <font>
                <b/>
                <i val="0"/>
              </font>
            </x14:dxf>
          </x14:cfRule>
          <x14:cfRule type="expression" priority="11" id="{55C4C9A7-D372-42BD-9514-68AA47A71B95}">
            <xm:f>'TC1'!#REF!="Dial"</xm:f>
            <x14:dxf>
              <font>
                <b/>
                <i val="0"/>
                <color rgb="FFFF0000"/>
              </font>
            </x14:dxf>
          </x14:cfRule>
          <xm:sqref>C12</xm:sqref>
        </x14:conditionalFormatting>
        <x14:conditionalFormatting xmlns:xm="http://schemas.microsoft.com/office/excel/2006/main">
          <x14:cfRule type="expression" priority="12" id="{388FDE88-24DF-48CA-9950-90B78572B709}">
            <xm:f>'TC1'!#REF!="Speak"</xm:f>
            <x14:dxf>
              <font>
                <b/>
                <i val="0"/>
                <color rgb="FFFF0000"/>
              </font>
            </x14:dxf>
          </x14:cfRule>
          <xm:sqref>C12</xm:sqref>
        </x14:conditionalFormatting>
        <x14:conditionalFormatting xmlns:xm="http://schemas.microsoft.com/office/excel/2006/main">
          <x14:cfRule type="expression" priority="7" id="{4AEF4767-6894-43CE-8FA8-70FF036144AF}">
            <xm:f>'TC1'!#REF!="HANGUP"</xm:f>
            <x14:dxf>
              <font>
                <b/>
                <i val="0"/>
              </font>
            </x14:dxf>
          </x14:cfRule>
          <x14:cfRule type="expression" priority="8" id="{AC3D6508-A635-4EAD-AF42-6D9394DFDFB7}">
            <xm:f>'TC1'!#REF!="Dial"</xm:f>
            <x14:dxf>
              <font>
                <b/>
                <i val="0"/>
                <color rgb="FFFF0000"/>
              </font>
            </x14:dxf>
          </x14:cfRule>
          <xm:sqref>C14</xm:sqref>
        </x14:conditionalFormatting>
        <x14:conditionalFormatting xmlns:xm="http://schemas.microsoft.com/office/excel/2006/main">
          <x14:cfRule type="expression" priority="9" id="{68D7C6BE-85DB-4A88-BEDF-1C40998FFCEF}">
            <xm:f>'TC1'!#REF!="Speak"</xm:f>
            <x14:dxf>
              <font>
                <b/>
                <i val="0"/>
                <color rgb="FFFF0000"/>
              </font>
            </x14:dxf>
          </x14:cfRule>
          <xm:sqref>C14</xm:sqref>
        </x14:conditionalFormatting>
        <x14:conditionalFormatting xmlns:xm="http://schemas.microsoft.com/office/excel/2006/main">
          <x14:cfRule type="expression" priority="4" id="{BC087A89-DDF8-4029-AE9F-78F465DDF848}">
            <xm:f>'TC1'!#REF!="HANGUP"</xm:f>
            <x14:dxf>
              <font>
                <b/>
                <i val="0"/>
              </font>
            </x14:dxf>
          </x14:cfRule>
          <x14:cfRule type="expression" priority="5" id="{1D222118-591A-4D76-AEAF-EED046BFC977}">
            <xm:f>'TC1'!#REF!="Dial"</xm:f>
            <x14:dxf>
              <font>
                <b/>
                <i val="0"/>
                <color rgb="FFFF0000"/>
              </font>
            </x14:dxf>
          </x14:cfRule>
          <xm:sqref>C16</xm:sqref>
        </x14:conditionalFormatting>
        <x14:conditionalFormatting xmlns:xm="http://schemas.microsoft.com/office/excel/2006/main">
          <x14:cfRule type="expression" priority="6" id="{64CFE83D-3FE6-4DC0-A29E-49875F0B170D}">
            <xm:f>'TC1'!#REF!="Speak"</xm:f>
            <x14:dxf>
              <font>
                <b/>
                <i val="0"/>
                <color rgb="FFFF0000"/>
              </font>
            </x14:dxf>
          </x14:cfRule>
          <xm:sqref>C16</xm:sqref>
        </x14:conditionalFormatting>
        <x14:conditionalFormatting xmlns:xm="http://schemas.microsoft.com/office/excel/2006/main">
          <x14:cfRule type="expression" priority="1" id="{4DC9FEE5-C2F6-4541-9C07-6CC50E7A86BC}">
            <xm:f>'TC1'!#REF!="HANGUP"</xm:f>
            <x14:dxf>
              <font>
                <b/>
                <i val="0"/>
              </font>
            </x14:dxf>
          </x14:cfRule>
          <x14:cfRule type="expression" priority="2" id="{05A159FC-D72D-43FC-B3E7-32AFF775926E}">
            <xm:f>'TC1'!#REF!="Dial"</xm:f>
            <x14:dxf>
              <font>
                <b/>
                <i val="0"/>
                <color rgb="FFFF0000"/>
              </font>
            </x14:dxf>
          </x14:cfRule>
          <xm:sqref>C18</xm:sqref>
        </x14:conditionalFormatting>
        <x14:conditionalFormatting xmlns:xm="http://schemas.microsoft.com/office/excel/2006/main">
          <x14:cfRule type="expression" priority="3" id="{6625494B-BE52-4F81-A6EE-2BFCF59910AD}">
            <xm:f>'TC1'!#REF!="Speak"</xm:f>
            <x14:dxf>
              <font>
                <b/>
                <i val="0"/>
                <color rgb="FFFF0000"/>
              </font>
            </x14:dxf>
          </x14:cfRule>
          <xm:sqref>C18</xm:sqref>
        </x14:conditionalFormatting>
      </x14:conditionalFormattings>
    </ext>
  </extLst>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codeName="Sheet102"/>
  <dimension ref="A1:E23"/>
  <sheetViews>
    <sheetView zoomScaleNormal="100" workbookViewId="0">
      <selection activeCell="C19" sqref="C19"/>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TC100</v>
      </c>
      <c r="C2" s="94"/>
      <c r="D2" s="107"/>
      <c r="E2" s="93"/>
    </row>
    <row r="3" spans="1:5">
      <c r="A3" s="100" t="s">
        <v>19</v>
      </c>
      <c r="B3" s="108">
        <f ca="1">VLOOKUP(B2,Table53[#All],2,FALSE)</f>
        <v>0</v>
      </c>
      <c r="C3" s="94"/>
      <c r="D3" s="107"/>
      <c r="E3" s="93"/>
    </row>
    <row r="4" spans="1:5" ht="45">
      <c r="A4" s="109" t="s">
        <v>20</v>
      </c>
      <c r="B4" s="95" t="str">
        <f ca="1">VLOOKUP(B2,Table53[#All],4,FALSE)</f>
        <v>svcArea=titleSvcs, serviceType=chgOwnership, Not in progress or complete &lt;90days. 325-W-DF-E</v>
      </c>
      <c r="C4" s="94" t="s">
        <v>261</v>
      </c>
      <c r="D4" s="107"/>
      <c r="E4" s="93"/>
    </row>
    <row r="5" spans="1:5" ht="45">
      <c r="A5" s="100" t="s">
        <v>6</v>
      </c>
      <c r="B5" s="75" t="str">
        <f ca="1">VLOOKUP(B2,Table53[#All],3,FALSE)</f>
        <v xml:space="preserve">CallStart Main Menu /Title /Ownership changes/ID Auth=True/ change name at ChangeMenu/HU after hearing peg 0330 </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VLOOKUP(Table257519918[[#This Row],[PEG]],Table1016[#All],2,FALSE)</f>
        <v>CallID.wav Call ID &lt;CallID&gt;</v>
      </c>
      <c r="D9" s="152" t="s">
        <v>477</v>
      </c>
      <c r="E9" s="122" t="str">
        <f>VLOOKUP(Table257519918[[#This Row],[PEG]],Table1016[#All],3,FALSE)</f>
        <v>TEST</v>
      </c>
    </row>
    <row r="10" spans="1:5" ht="30">
      <c r="A10" s="114">
        <v>3</v>
      </c>
      <c r="B10" s="110" t="s">
        <v>115</v>
      </c>
      <c r="C10" s="105" t="str">
        <f>VLOOKUP(Table257519918[[#This Row],[PEG]],Table1016[#All],2,FALSE)</f>
        <v>0100.wav Thank you for calling Shell vacations Club, we are glad you called. Please have your account number available for faster service. [To continue in Spanish, press 9]</v>
      </c>
      <c r="D10" s="152">
        <v>100</v>
      </c>
      <c r="E10" s="122" t="str">
        <f>VLOOKUP(Table257519918[[#This Row],[PEG]],Table1016[#All],3,FALSE)</f>
        <v>PLAY PROMPT</v>
      </c>
    </row>
    <row r="11" spans="1:5" ht="30">
      <c r="A11" s="114">
        <v>4</v>
      </c>
      <c r="B11" s="110" t="s">
        <v>115</v>
      </c>
      <c r="C11" s="105" t="str">
        <f>VLOOKUP(Table257519918[[#This Row],[PEG]],Table1016[#All],2,FALSE)</f>
        <v>0110-1.wav Which would you like? You can say... reservations, payments &amp; statements, title &amp; ownership changes, or more options.</v>
      </c>
      <c r="D11" s="152">
        <v>110</v>
      </c>
      <c r="E11" s="122" t="str">
        <f>VLOOKUP(Table257519918[[#This Row],[PEG]],Table1016[#All],3,FALSE)</f>
        <v>MENU PROMPT</v>
      </c>
    </row>
    <row r="12" spans="1:5">
      <c r="A12" s="114">
        <v>5</v>
      </c>
      <c r="B12" s="110" t="s">
        <v>124</v>
      </c>
      <c r="C12" s="151" t="s">
        <v>486</v>
      </c>
      <c r="D12" s="152"/>
      <c r="E12" s="122" t="e">
        <f>VLOOKUP(Table257519918[[#This Row],[PEG]],Table1016[#All],3,FALSE)</f>
        <v>#N/A</v>
      </c>
    </row>
    <row r="13" spans="1:5" ht="30">
      <c r="A13" s="114">
        <v>6</v>
      </c>
      <c r="B13" s="110" t="s">
        <v>115</v>
      </c>
      <c r="C13" s="105" t="str">
        <f>VLOOKUP(Table257519918[[#This Row],[PEG]],Table1016[#All],2,FALSE)</f>
        <v>0300-1.wav You can say ownership changes, check status, make a payment, or help me with something else. Which would you like?</v>
      </c>
      <c r="D13" s="152">
        <v>300</v>
      </c>
      <c r="E13" s="122" t="str">
        <f>VLOOKUP(Table257519918[[#This Row],[PEG]],Table1016[#All],3,FALSE)</f>
        <v>MENU PROMPT</v>
      </c>
    </row>
    <row r="14" spans="1:5">
      <c r="A14" s="114">
        <v>7</v>
      </c>
      <c r="B14" s="110" t="s">
        <v>124</v>
      </c>
      <c r="C14" s="151" t="s">
        <v>538</v>
      </c>
      <c r="D14" s="125"/>
      <c r="E14" s="122" t="e">
        <f>VLOOKUP(Table257519918[[#This Row],[PEG]],Table1016[#All],3,FALSE)</f>
        <v>#N/A</v>
      </c>
    </row>
    <row r="15" spans="1:5">
      <c r="A15" s="114">
        <v>8</v>
      </c>
      <c r="B15" s="110" t="s">
        <v>115</v>
      </c>
      <c r="C15" s="105" t="str">
        <f>VLOOKUP(Table257519918[[#This Row],[PEG]],Table1016[#All],2,FALSE)</f>
        <v>0200-1.wav To get started, what is your account number?</v>
      </c>
      <c r="D15" s="153">
        <v>200</v>
      </c>
      <c r="E15" s="122" t="str">
        <f>VLOOKUP(Table257519918[[#This Row],[PEG]],Table1016[#All],3,FALSE)</f>
        <v>MENU PROMPT</v>
      </c>
    </row>
    <row r="16" spans="1:5">
      <c r="A16" s="114">
        <v>9</v>
      </c>
      <c r="B16" s="110" t="s">
        <v>114</v>
      </c>
      <c r="C16" s="151" t="s">
        <v>515</v>
      </c>
      <c r="D16" s="112"/>
      <c r="E16" s="122" t="e">
        <f>VLOOKUP(Table257519918[[#This Row],[PEG]],Table1016[#All],3,FALSE)</f>
        <v>#N/A</v>
      </c>
    </row>
    <row r="17" spans="1:5">
      <c r="A17" s="114">
        <v>10</v>
      </c>
      <c r="B17" s="110" t="s">
        <v>115</v>
      </c>
      <c r="C17" s="105" t="str">
        <f>VLOOKUP(Table257519918[[#This Row],[PEG]],Table1016[#All],2,FALSE)</f>
        <v>0210-1.wav And the date of birth for the primary owner?</v>
      </c>
      <c r="D17" s="154">
        <v>210</v>
      </c>
      <c r="E17" s="122" t="str">
        <f>VLOOKUP(Table257519918[[#This Row],[PEG]],Table1016[#All],3,FALSE)</f>
        <v>MENU PROMPT</v>
      </c>
    </row>
    <row r="18" spans="1:5">
      <c r="A18" s="114">
        <v>11</v>
      </c>
      <c r="B18" s="110" t="s">
        <v>124</v>
      </c>
      <c r="C18" s="151" t="s">
        <v>524</v>
      </c>
      <c r="D18" s="113"/>
      <c r="E18" s="122" t="e">
        <f>VLOOKUP(Table257519918[[#This Row],[PEG]],Table1016[#All],3,FALSE)</f>
        <v>#N/A</v>
      </c>
    </row>
    <row r="19" spans="1:5" ht="45">
      <c r="A19" s="114">
        <v>12</v>
      </c>
      <c r="B19" s="110" t="s">
        <v>115</v>
      </c>
      <c r="C19" s="105" t="str">
        <f>VLOOKUP(Table257519918[[#This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54">
        <v>320</v>
      </c>
      <c r="E19" s="122" t="str">
        <f>VLOOKUP(Table257519918[[#This Row],[PEG]],Table1016[#All],3,FALSE)</f>
        <v>MENU PROMPT</v>
      </c>
    </row>
    <row r="20" spans="1:5">
      <c r="A20" s="114">
        <v>13</v>
      </c>
      <c r="B20" s="110" t="s">
        <v>124</v>
      </c>
      <c r="C20" s="151" t="s">
        <v>538</v>
      </c>
      <c r="D20" s="113"/>
      <c r="E20" s="122" t="e">
        <f>VLOOKUP(Table257519918[[#This Row],[PEG]],Table1016[#All],3,FALSE)</f>
        <v>#N/A</v>
      </c>
    </row>
    <row r="21" spans="1:5" ht="90">
      <c r="A21" s="114">
        <v>14</v>
      </c>
      <c r="B21" s="110" t="s">
        <v>115</v>
      </c>
      <c r="C21" s="105" t="str">
        <f>VLOOKUP(Table257519918[[#This Row],[PEG]],Table1016[#All],2,FALSE)</f>
        <v>Wyndham requires a new recorded deed from the county where you own the property showing the name change. We recommend that you use a licensed professional to execute the document. In addition to the deed, a copy of the court documents such as a marriage certificate or divorce decree to be submitted along with a government issued ID showing your name change must be submitted. Please send the information to 6277 Sea Harbor Drive, Orlando Florida 32821, attention, Worldmark Ownership Change or via email to worldmarkownershipchange@wyn.com .</v>
      </c>
      <c r="D21" s="94" t="s">
        <v>261</v>
      </c>
      <c r="E21" s="122" t="str">
        <f>VLOOKUP(Table257519918[[#This Row],[PEG]],Table1016[#All],3,FALSE)</f>
        <v>PLAY PROMPT</v>
      </c>
    </row>
    <row r="22" spans="1:5" ht="30">
      <c r="A22" s="114">
        <v>15</v>
      </c>
      <c r="B22" s="110" t="s">
        <v>115</v>
      </c>
      <c r="C22" s="105" t="str">
        <f>VLOOKUP(Table257519918[[#This Row],[PEG]],Table1016[#All],2,FALSE)</f>
        <v>0330-1.wav To hear this information again, say repeat that. If you would like me to send you a letter with instructions to start the process, say information letter.</v>
      </c>
      <c r="D22" s="154">
        <v>330</v>
      </c>
      <c r="E22" s="122" t="str">
        <f>VLOOKUP(Table257519918[[#This Row],[PEG]],Table1016[#All],3,FALSE)</f>
        <v>MENU PROMPT</v>
      </c>
    </row>
    <row r="23" spans="1:5">
      <c r="A23" s="114">
        <v>16</v>
      </c>
      <c r="B23" s="110" t="s">
        <v>13</v>
      </c>
      <c r="C23" s="17" t="s">
        <v>13</v>
      </c>
      <c r="D23" s="111"/>
      <c r="E23" s="31"/>
    </row>
  </sheetData>
  <mergeCells count="1">
    <mergeCell ref="A1:B1"/>
  </mergeCells>
  <conditionalFormatting sqref="B23">
    <cfRule type="containsText" dxfId="3138" priority="22" operator="containsText" text="Hear">
      <formula>NOT(ISERROR(SEARCH("Hear",B23)))</formula>
    </cfRule>
  </conditionalFormatting>
  <conditionalFormatting sqref="E23">
    <cfRule type="containsText" dxfId="3137" priority="30" operator="containsText" text="WEB SERVICE">
      <formula>NOT(ISERROR(SEARCH("WEB SERVICE",E23)))</formula>
    </cfRule>
    <cfRule type="containsText" dxfId="3136" priority="31" operator="containsText" text="DB">
      <formula>NOT(ISERROR(SEARCH("DB",E23)))</formula>
    </cfRule>
  </conditionalFormatting>
  <conditionalFormatting sqref="C23">
    <cfRule type="expression" dxfId="3135" priority="33">
      <formula>$B23="Dial"</formula>
    </cfRule>
    <cfRule type="expression" dxfId="3134" priority="35">
      <formula>$B23="HANGUP"</formula>
    </cfRule>
  </conditionalFormatting>
  <conditionalFormatting sqref="C23">
    <cfRule type="expression" dxfId="3133" priority="34">
      <formula>$B23="Speak"</formula>
    </cfRule>
  </conditionalFormatting>
  <conditionalFormatting sqref="B8">
    <cfRule type="containsText" dxfId="3132" priority="19" operator="containsText" text="Hear">
      <formula>NOT(ISERROR(SEARCH("Hear",B8)))</formula>
    </cfRule>
  </conditionalFormatting>
  <conditionalFormatting sqref="B20:B22">
    <cfRule type="containsText" dxfId="3131" priority="18" operator="containsText" text="Hear">
      <formula>NOT(ISERROR(SEARCH("Hear",B20)))</formula>
    </cfRule>
  </conditionalFormatting>
  <conditionalFormatting sqref="B18:B19">
    <cfRule type="containsText" dxfId="3130" priority="17" operator="containsText" text="Hear">
      <formula>NOT(ISERROR(SEARCH("Hear",B18)))</formula>
    </cfRule>
  </conditionalFormatting>
  <conditionalFormatting sqref="B9:B17">
    <cfRule type="containsText" dxfId="3129" priority="16" operator="containsText" text="Hear">
      <formula>NOT(ISERROR(SEARCH("Hear",B9)))</formula>
    </cfRule>
  </conditionalFormatting>
  <hyperlinks>
    <hyperlink ref="A1" location="'Test Case Overview'!A1" display="Return to Test Case Overview" xr:uid="{00000000-0004-0000-64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6" id="{46212538-6F3B-4E7F-B6A0-3CDEB2BB62DD}">
            <xm:f>'TC1'!$B8="HANGUP"</xm:f>
            <x14:dxf>
              <font>
                <b/>
                <i val="0"/>
              </font>
            </x14:dxf>
          </x14:cfRule>
          <x14:cfRule type="expression" priority="27" id="{8EAE95ED-5847-48D0-9705-F9BE363CED88}">
            <xm:f>'TC1'!$B8="Dial"</xm:f>
            <x14:dxf>
              <font>
                <b/>
                <i val="0"/>
                <color rgb="FFFF0000"/>
              </font>
            </x14:dxf>
          </x14:cfRule>
          <xm:sqref>C8</xm:sqref>
        </x14:conditionalFormatting>
        <x14:conditionalFormatting xmlns:xm="http://schemas.microsoft.com/office/excel/2006/main">
          <x14:cfRule type="expression" priority="28" id="{A2D0F7A6-EA16-47B4-A5C9-623752122975}">
            <xm:f>'TC1'!$B8="Speak"</xm:f>
            <x14:dxf>
              <font>
                <b/>
                <i val="0"/>
                <color rgb="FFFF0000"/>
              </font>
            </x14:dxf>
          </x14:cfRule>
          <xm:sqref>C8</xm:sqref>
        </x14:conditionalFormatting>
        <x14:conditionalFormatting xmlns:xm="http://schemas.microsoft.com/office/excel/2006/main">
          <x14:cfRule type="containsText" priority="25" operator="containsText" text="DB" id="{C5C8345E-8678-416C-BB42-8D18B5D9D5D1}">
            <xm:f>NOT(ISERROR(SEARCH("DB",'TC1'!E10)))</xm:f>
            <x14:dxf>
              <font>
                <color rgb="FF006100"/>
              </font>
              <fill>
                <patternFill>
                  <bgColor rgb="FFC6EFCE"/>
                </patternFill>
              </fill>
            </x14:dxf>
          </x14:cfRule>
          <x14:cfRule type="containsText" priority="29" operator="containsText" text="WEB SERVICE" id="{61E4253B-9408-4EB3-B39B-6D52B411A0BA}">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2286" id="{46212538-6F3B-4E7F-B6A0-3CDEB2BB62DD}">
            <xm:f>'TC1'!#REF!="HANGUP"</xm:f>
            <x14:dxf>
              <font>
                <b/>
                <i val="0"/>
              </font>
            </x14:dxf>
          </x14:cfRule>
          <x14:cfRule type="expression" priority="2287" id="{8EAE95ED-5847-48D0-9705-F9BE363CED88}">
            <xm:f>'TC1'!#REF!="Dial"</xm:f>
            <x14:dxf>
              <font>
                <b/>
                <i val="0"/>
                <color rgb="FFFF0000"/>
              </font>
            </x14:dxf>
          </x14:cfRule>
          <xm:sqref>C13 C15 C17 C19:C22</xm:sqref>
        </x14:conditionalFormatting>
        <x14:conditionalFormatting xmlns:xm="http://schemas.microsoft.com/office/excel/2006/main">
          <x14:cfRule type="expression" priority="2292" id="{A2D0F7A6-EA16-47B4-A5C9-623752122975}">
            <xm:f>'TC1'!#REF!="Speak"</xm:f>
            <x14:dxf>
              <font>
                <b/>
                <i val="0"/>
                <color rgb="FFFF0000"/>
              </font>
            </x14:dxf>
          </x14:cfRule>
          <xm:sqref>C13 C15 C17 C19:C22</xm:sqref>
        </x14:conditionalFormatting>
        <x14:conditionalFormatting xmlns:xm="http://schemas.microsoft.com/office/excel/2006/main">
          <x14:cfRule type="containsText" priority="2298" operator="containsText" text="DB" id="{C5C8345E-8678-416C-BB42-8D18B5D9D5D1}">
            <xm:f>NOT(ISERROR(SEARCH("DB",'TC1'!#REF!)))</xm:f>
            <x14:dxf>
              <font>
                <color rgb="FF006100"/>
              </font>
              <fill>
                <patternFill>
                  <bgColor rgb="FFC6EFCE"/>
                </patternFill>
              </fill>
            </x14:dxf>
          </x14:cfRule>
          <x14:cfRule type="containsText" priority="2299" operator="containsText" text="WEB SERVICE" id="{61E4253B-9408-4EB3-B39B-6D52B411A0BA}">
            <xm:f>NOT(ISERROR(SEARCH("WEB SERVICE",'TC1'!#REF!)))</xm:f>
            <x14:dxf>
              <font>
                <color rgb="FF9C0006"/>
              </font>
              <fill>
                <patternFill>
                  <bgColor rgb="FFFFC7CE"/>
                </patternFill>
              </fill>
            </x14:dxf>
          </x14:cfRule>
          <xm:sqref>E13:E22</xm:sqref>
        </x14:conditionalFormatting>
        <x14:conditionalFormatting xmlns:xm="http://schemas.microsoft.com/office/excel/2006/main">
          <x14:cfRule type="expression" priority="4176" id="{46212538-6F3B-4E7F-B6A0-3CDEB2BB62DD}">
            <xm:f>'TC1'!$B10="HANGUP"</xm:f>
            <x14:dxf>
              <font>
                <b/>
                <i val="0"/>
              </font>
            </x14:dxf>
          </x14:cfRule>
          <x14:cfRule type="expression" priority="4177" id="{8EAE95ED-5847-48D0-9705-F9BE363CED88}">
            <xm:f>'TC1'!$B10="Dial"</xm:f>
            <x14:dxf>
              <font>
                <b/>
                <i val="0"/>
                <color rgb="FFFF0000"/>
              </font>
            </x14:dxf>
          </x14:cfRule>
          <xm:sqref>C9:C11</xm:sqref>
        </x14:conditionalFormatting>
        <x14:conditionalFormatting xmlns:xm="http://schemas.microsoft.com/office/excel/2006/main">
          <x14:cfRule type="expression" priority="4179" id="{A2D0F7A6-EA16-47B4-A5C9-623752122975}">
            <xm:f>'TC1'!$B10="Speak"</xm:f>
            <x14:dxf>
              <font>
                <b/>
                <i val="0"/>
                <color rgb="FFFF0000"/>
              </font>
            </x14:dxf>
          </x14:cfRule>
          <xm:sqref>C9:C11</xm:sqref>
        </x14:conditionalFormatting>
        <x14:conditionalFormatting xmlns:xm="http://schemas.microsoft.com/office/excel/2006/main">
          <x14:cfRule type="expression" priority="13" id="{22F6214C-707C-4BF8-AA83-2C11FB4BDEE4}">
            <xm:f>'TC1'!#REF!="HANGUP"</xm:f>
            <x14:dxf>
              <font>
                <b/>
                <i val="0"/>
              </font>
            </x14:dxf>
          </x14:cfRule>
          <x14:cfRule type="expression" priority="14" id="{11899E9E-C9B3-46BA-9971-48EE5FDAFECB}">
            <xm:f>'TC1'!#REF!="Dial"</xm:f>
            <x14:dxf>
              <font>
                <b/>
                <i val="0"/>
                <color rgb="FFFF0000"/>
              </font>
            </x14:dxf>
          </x14:cfRule>
          <xm:sqref>C12</xm:sqref>
        </x14:conditionalFormatting>
        <x14:conditionalFormatting xmlns:xm="http://schemas.microsoft.com/office/excel/2006/main">
          <x14:cfRule type="expression" priority="15" id="{AB613048-83C2-42A0-A79D-E277511CDC0E}">
            <xm:f>'TC1'!#REF!="Speak"</xm:f>
            <x14:dxf>
              <font>
                <b/>
                <i val="0"/>
                <color rgb="FFFF0000"/>
              </font>
            </x14:dxf>
          </x14:cfRule>
          <xm:sqref>C12</xm:sqref>
        </x14:conditionalFormatting>
        <x14:conditionalFormatting xmlns:xm="http://schemas.microsoft.com/office/excel/2006/main">
          <x14:cfRule type="expression" priority="10" id="{BCB40656-D02A-4A00-BF45-085562B2DDE6}">
            <xm:f>'TC1'!#REF!="HANGUP"</xm:f>
            <x14:dxf>
              <font>
                <b/>
                <i val="0"/>
              </font>
            </x14:dxf>
          </x14:cfRule>
          <x14:cfRule type="expression" priority="11" id="{19911609-9154-45A4-8509-5660F5D4B6B1}">
            <xm:f>'TC1'!#REF!="Dial"</xm:f>
            <x14:dxf>
              <font>
                <b/>
                <i val="0"/>
                <color rgb="FFFF0000"/>
              </font>
            </x14:dxf>
          </x14:cfRule>
          <xm:sqref>C14</xm:sqref>
        </x14:conditionalFormatting>
        <x14:conditionalFormatting xmlns:xm="http://schemas.microsoft.com/office/excel/2006/main">
          <x14:cfRule type="expression" priority="12" id="{88C88548-116C-4A81-BF08-B938B0D39E72}">
            <xm:f>'TC1'!#REF!="Speak"</xm:f>
            <x14:dxf>
              <font>
                <b/>
                <i val="0"/>
                <color rgb="FFFF0000"/>
              </font>
            </x14:dxf>
          </x14:cfRule>
          <xm:sqref>C14</xm:sqref>
        </x14:conditionalFormatting>
        <x14:conditionalFormatting xmlns:xm="http://schemas.microsoft.com/office/excel/2006/main">
          <x14:cfRule type="expression" priority="4" id="{63842F8C-05B7-4ADE-8221-D42FC8B65DAE}">
            <xm:f>'TC1'!#REF!="HANGUP"</xm:f>
            <x14:dxf>
              <font>
                <b/>
                <i val="0"/>
              </font>
            </x14:dxf>
          </x14:cfRule>
          <x14:cfRule type="expression" priority="5" id="{E256DE4A-7B56-4BAF-81EE-CB28B80ECD09}">
            <xm:f>'TC1'!#REF!="Dial"</xm:f>
            <x14:dxf>
              <font>
                <b/>
                <i val="0"/>
                <color rgb="FFFF0000"/>
              </font>
            </x14:dxf>
          </x14:cfRule>
          <xm:sqref>C18</xm:sqref>
        </x14:conditionalFormatting>
        <x14:conditionalFormatting xmlns:xm="http://schemas.microsoft.com/office/excel/2006/main">
          <x14:cfRule type="expression" priority="6" id="{14E9D5EA-FCC0-4E69-8E1F-69BF31F01ECF}">
            <xm:f>'TC1'!#REF!="Speak"</xm:f>
            <x14:dxf>
              <font>
                <b/>
                <i val="0"/>
                <color rgb="FFFF0000"/>
              </font>
            </x14:dxf>
          </x14:cfRule>
          <xm:sqref>C18</xm:sqref>
        </x14:conditionalFormatting>
        <x14:conditionalFormatting xmlns:xm="http://schemas.microsoft.com/office/excel/2006/main">
          <x14:cfRule type="expression" priority="1" id="{876FE44F-604B-4DE4-A108-820BFC2DAD5C}">
            <xm:f>'TC1'!#REF!="HANGUP"</xm:f>
            <x14:dxf>
              <font>
                <b/>
                <i val="0"/>
              </font>
            </x14:dxf>
          </x14:cfRule>
          <x14:cfRule type="expression" priority="2" id="{14F41E8D-463D-495F-B2D4-966C087D0E88}">
            <xm:f>'TC1'!#REF!="Dial"</xm:f>
            <x14:dxf>
              <font>
                <b/>
                <i val="0"/>
                <color rgb="FFFF0000"/>
              </font>
            </x14:dxf>
          </x14:cfRule>
          <xm:sqref>C16</xm:sqref>
        </x14:conditionalFormatting>
        <x14:conditionalFormatting xmlns:xm="http://schemas.microsoft.com/office/excel/2006/main">
          <x14:cfRule type="expression" priority="3" id="{6E4B674B-7365-410A-BA74-DC1B2206EC4D}">
            <xm:f>'TC1'!#REF!="Speak"</xm:f>
            <x14:dxf>
              <font>
                <b/>
                <i val="0"/>
                <color rgb="FFFF0000"/>
              </font>
            </x14:dxf>
          </x14:cfRule>
          <xm:sqref>C16</xm:sqref>
        </x14:conditionalFormatting>
      </x14:conditionalFormattings>
    </ext>
  </extLst>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codeName="Sheet103"/>
  <dimension ref="A1:E23"/>
  <sheetViews>
    <sheetView zoomScaleNormal="100" workbookViewId="0">
      <selection activeCell="C5" sqref="C5"/>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TC101</v>
      </c>
      <c r="C2" s="94"/>
      <c r="D2" s="107"/>
      <c r="E2" s="93"/>
    </row>
    <row r="3" spans="1:5">
      <c r="A3" s="100" t="s">
        <v>19</v>
      </c>
      <c r="B3" s="108">
        <f ca="1">VLOOKUP(B2,Table53[#All],2,FALSE)</f>
        <v>0</v>
      </c>
      <c r="C3" s="94"/>
      <c r="D3" s="107"/>
      <c r="E3" s="93"/>
    </row>
    <row r="4" spans="1:5" ht="45">
      <c r="A4" s="109" t="s">
        <v>20</v>
      </c>
      <c r="B4" s="95" t="str">
        <f ca="1">VLOOKUP(B2,Table53[#All],4,FALSE)</f>
        <v>svcArea=titleSvcs, serviceType=chgOwner, Not in progress or complete &lt;90days. 325-W-ND-R</v>
      </c>
      <c r="C4" s="94" t="s">
        <v>263</v>
      </c>
      <c r="D4" s="107"/>
      <c r="E4" s="93"/>
    </row>
    <row r="5" spans="1:5" ht="45">
      <c r="A5" s="100" t="s">
        <v>6</v>
      </c>
      <c r="B5" s="75" t="str">
        <f ca="1">VLOOKUP(B2,Table53[#All],3,FALSE)</f>
        <v xml:space="preserve">CallStart Main Menu /Title /Ownership changes/ID Auth=True/ remove owner at ChangeMenu/HU after hearing peg 0330 </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VLOOKUP(Table2575199127[[#This Row],[PEG]],Table1016[#All],2,FALSE)</f>
        <v>CallID.wav Call ID &lt;CallID&gt;</v>
      </c>
      <c r="D9" s="152" t="s">
        <v>477</v>
      </c>
      <c r="E9" s="122" t="str">
        <f>VLOOKUP(Table2575199127[[#This Row],[PEG]],Table1016[#All],3,FALSE)</f>
        <v>TEST</v>
      </c>
    </row>
    <row r="10" spans="1:5" ht="30">
      <c r="A10" s="114">
        <v>3</v>
      </c>
      <c r="B10" s="110" t="s">
        <v>115</v>
      </c>
      <c r="C10" s="105" t="str">
        <f>VLOOKUP(Table2575199127[[#This Row],[PEG]],Table1016[#All],2,FALSE)</f>
        <v>0100.wav Thank you for calling Shell vacations Club, we are glad you called. Please have your account number available for faster service. [To continue in Spanish, press 9]</v>
      </c>
      <c r="D10" s="152">
        <v>100</v>
      </c>
      <c r="E10" s="122" t="str">
        <f>VLOOKUP(Table2575199127[[#This Row],[PEG]],Table1016[#All],3,FALSE)</f>
        <v>PLAY PROMPT</v>
      </c>
    </row>
    <row r="11" spans="1:5" ht="30">
      <c r="A11" s="114">
        <v>4</v>
      </c>
      <c r="B11" s="110" t="s">
        <v>115</v>
      </c>
      <c r="C11" s="105" t="str">
        <f>VLOOKUP(Table2575199127[[#This Row],[PEG]],Table1016[#All],2,FALSE)</f>
        <v>0110-1.wav Which would you like? You can say... reservations, payments &amp; statements, title &amp; ownership changes, or more options.</v>
      </c>
      <c r="D11" s="152">
        <v>110</v>
      </c>
      <c r="E11" s="122" t="str">
        <f>VLOOKUP(Table2575199127[[#This Row],[PEG]],Table1016[#All],3,FALSE)</f>
        <v>MENU PROMPT</v>
      </c>
    </row>
    <row r="12" spans="1:5">
      <c r="A12" s="114">
        <v>5</v>
      </c>
      <c r="B12" s="110" t="s">
        <v>124</v>
      </c>
      <c r="C12" s="151" t="s">
        <v>486</v>
      </c>
      <c r="D12" s="152"/>
      <c r="E12" s="122" t="e">
        <f>VLOOKUP(Table2575199127[[#This Row],[PEG]],Table1016[#All],3,FALSE)</f>
        <v>#N/A</v>
      </c>
    </row>
    <row r="13" spans="1:5" ht="30">
      <c r="A13" s="114">
        <v>6</v>
      </c>
      <c r="B13" s="110" t="s">
        <v>115</v>
      </c>
      <c r="C13" s="105" t="str">
        <f>VLOOKUP(Table2575199127[[#This Row],[PEG]],Table1016[#All],2,FALSE)</f>
        <v>0300-1.wav You can say ownership changes, check status, make a payment, or help me with something else. Which would you like?</v>
      </c>
      <c r="D13" s="152">
        <v>300</v>
      </c>
      <c r="E13" s="122" t="str">
        <f>VLOOKUP(Table2575199127[[#This Row],[PEG]],Table1016[#All],3,FALSE)</f>
        <v>MENU PROMPT</v>
      </c>
    </row>
    <row r="14" spans="1:5">
      <c r="A14" s="114">
        <v>7</v>
      </c>
      <c r="B14" s="110" t="s">
        <v>124</v>
      </c>
      <c r="C14" s="151" t="s">
        <v>527</v>
      </c>
      <c r="D14" s="125"/>
      <c r="E14" s="122" t="e">
        <f>VLOOKUP(Table2575199127[[#This Row],[PEG]],Table1016[#All],3,FALSE)</f>
        <v>#N/A</v>
      </c>
    </row>
    <row r="15" spans="1:5">
      <c r="A15" s="114">
        <v>8</v>
      </c>
      <c r="B15" s="110" t="s">
        <v>115</v>
      </c>
      <c r="C15" s="105" t="str">
        <f>VLOOKUP(Table2575199127[[#This Row],[PEG]],Table1016[#All],2,FALSE)</f>
        <v>0200-1.wav To get started, what is your account number?</v>
      </c>
      <c r="D15" s="153">
        <v>200</v>
      </c>
      <c r="E15" s="122" t="str">
        <f>VLOOKUP(Table2575199127[[#This Row],[PEG]],Table1016[#All],3,FALSE)</f>
        <v>MENU PROMPT</v>
      </c>
    </row>
    <row r="16" spans="1:5">
      <c r="A16" s="114">
        <v>9</v>
      </c>
      <c r="B16" s="110" t="s">
        <v>114</v>
      </c>
      <c r="C16" s="151" t="s">
        <v>515</v>
      </c>
      <c r="D16" s="112"/>
      <c r="E16" s="122" t="e">
        <f>VLOOKUP(Table2575199127[[#This Row],[PEG]],Table1016[#All],3,FALSE)</f>
        <v>#N/A</v>
      </c>
    </row>
    <row r="17" spans="1:5">
      <c r="A17" s="114">
        <v>10</v>
      </c>
      <c r="B17" s="110" t="s">
        <v>115</v>
      </c>
      <c r="C17" s="105" t="str">
        <f>VLOOKUP(Table2575199127[[#This Row],[PEG]],Table1016[#All],2,FALSE)</f>
        <v>0210-1.wav And the date of birth for the primary owner?</v>
      </c>
      <c r="D17" s="154">
        <v>210</v>
      </c>
      <c r="E17" s="122" t="str">
        <f>VLOOKUP(Table2575199127[[#This Row],[PEG]],Table1016[#All],3,FALSE)</f>
        <v>MENU PROMPT</v>
      </c>
    </row>
    <row r="18" spans="1:5">
      <c r="A18" s="114">
        <v>11</v>
      </c>
      <c r="B18" s="110" t="s">
        <v>124</v>
      </c>
      <c r="C18" s="151" t="s">
        <v>524</v>
      </c>
      <c r="D18" s="113"/>
      <c r="E18" s="122" t="e">
        <f>VLOOKUP(Table2575199127[[#This Row],[PEG]],Table1016[#All],3,FALSE)</f>
        <v>#N/A</v>
      </c>
    </row>
    <row r="19" spans="1:5" ht="45">
      <c r="A19" s="114">
        <v>12</v>
      </c>
      <c r="B19" s="110" t="s">
        <v>115</v>
      </c>
      <c r="C19" s="105" t="str">
        <f>VLOOKUP(Table2575199127[[#This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54">
        <v>320</v>
      </c>
      <c r="E19" s="122" t="str">
        <f>VLOOKUP(Table2575199127[[#This Row],[PEG]],Table1016[#All],3,FALSE)</f>
        <v>MENU PROMPT</v>
      </c>
    </row>
    <row r="20" spans="1:5">
      <c r="A20" s="114">
        <v>13</v>
      </c>
      <c r="B20" s="110" t="s">
        <v>124</v>
      </c>
      <c r="C20" s="151" t="s">
        <v>558</v>
      </c>
      <c r="D20" s="113"/>
      <c r="E20" s="122" t="e">
        <f>VLOOKUP(Table2575199127[[#This Row],[PEG]],Table1016[#All],3,FALSE)</f>
        <v>#N/A</v>
      </c>
    </row>
    <row r="21" spans="1:5" ht="75">
      <c r="A21" s="114">
        <v>14</v>
      </c>
      <c r="B21" s="110" t="s">
        <v>115</v>
      </c>
      <c r="C21" s="105" t="str">
        <f>VLOOKUP(Table2575199127[[#This Row],[PEG]],Table1016[#All],2,FALSE)</f>
        <v>Wyndham requires a $299 processing fee to update ownership, in addition, a written request with the name of the owner being removed must be submitted. Please send the information to 6277 Sea Harbor Drive, Orlando Florida 32821, attention, Worldmark Ownership Change. Once the information and fee is received, Wyndham will send removal paperwork to be signed in front of a notary and returned. In the event of a divorce, Wyndham will not require a fee but will require supporting documentation to be mailed to the same address.</v>
      </c>
      <c r="D21" s="94" t="s">
        <v>263</v>
      </c>
      <c r="E21" s="122" t="str">
        <f>VLOOKUP(Table2575199127[[#This Row],[PEG]],Table1016[#All],3,FALSE)</f>
        <v>PLAY PROMPT</v>
      </c>
    </row>
    <row r="22" spans="1:5" ht="30">
      <c r="A22" s="114">
        <v>15</v>
      </c>
      <c r="B22" s="110" t="s">
        <v>115</v>
      </c>
      <c r="C22" s="105" t="str">
        <f>VLOOKUP(Table2575199127[[#This Row],[PEG]],Table1016[#All],2,FALSE)</f>
        <v>0330-1.wav To hear this information again, say repeat that. If you would like me to send you a letter with instructions to start the process, say information letter.</v>
      </c>
      <c r="D22" s="154">
        <v>330</v>
      </c>
      <c r="E22" s="122" t="str">
        <f>VLOOKUP(Table2575199127[[#This Row],[PEG]],Table1016[#All],3,FALSE)</f>
        <v>MENU PROMPT</v>
      </c>
    </row>
    <row r="23" spans="1:5">
      <c r="A23" s="114">
        <v>16</v>
      </c>
      <c r="B23" s="110" t="s">
        <v>13</v>
      </c>
      <c r="C23" s="17" t="s">
        <v>13</v>
      </c>
      <c r="D23" s="111"/>
      <c r="E23" s="31"/>
    </row>
  </sheetData>
  <mergeCells count="1">
    <mergeCell ref="A1:B1"/>
  </mergeCells>
  <conditionalFormatting sqref="B23">
    <cfRule type="containsText" dxfId="3094" priority="19" operator="containsText" text="Hear">
      <formula>NOT(ISERROR(SEARCH("Hear",B23)))</formula>
    </cfRule>
  </conditionalFormatting>
  <conditionalFormatting sqref="E23">
    <cfRule type="containsText" dxfId="3093" priority="27" operator="containsText" text="WEB SERVICE">
      <formula>NOT(ISERROR(SEARCH("WEB SERVICE",E23)))</formula>
    </cfRule>
    <cfRule type="containsText" dxfId="3092" priority="28" operator="containsText" text="DB">
      <formula>NOT(ISERROR(SEARCH("DB",E23)))</formula>
    </cfRule>
  </conditionalFormatting>
  <conditionalFormatting sqref="C23">
    <cfRule type="expression" dxfId="3091" priority="30">
      <formula>$B23="Dial"</formula>
    </cfRule>
    <cfRule type="expression" dxfId="3090" priority="32">
      <formula>$B23="HANGUP"</formula>
    </cfRule>
  </conditionalFormatting>
  <conditionalFormatting sqref="C23">
    <cfRule type="expression" dxfId="3089" priority="31">
      <formula>$B23="Speak"</formula>
    </cfRule>
  </conditionalFormatting>
  <conditionalFormatting sqref="B8">
    <cfRule type="containsText" dxfId="3088" priority="16" operator="containsText" text="Hear">
      <formula>NOT(ISERROR(SEARCH("Hear",B8)))</formula>
    </cfRule>
  </conditionalFormatting>
  <conditionalFormatting sqref="B20:B22">
    <cfRule type="containsText" dxfId="3087" priority="15" operator="containsText" text="Hear">
      <formula>NOT(ISERROR(SEARCH("Hear",B20)))</formula>
    </cfRule>
  </conditionalFormatting>
  <conditionalFormatting sqref="B18:B19">
    <cfRule type="containsText" dxfId="3086" priority="14" operator="containsText" text="Hear">
      <formula>NOT(ISERROR(SEARCH("Hear",B18)))</formula>
    </cfRule>
  </conditionalFormatting>
  <conditionalFormatting sqref="B9:B17">
    <cfRule type="containsText" dxfId="3085" priority="13" operator="containsText" text="Hear">
      <formula>NOT(ISERROR(SEARCH("Hear",B9)))</formula>
    </cfRule>
  </conditionalFormatting>
  <hyperlinks>
    <hyperlink ref="A1" location="'Test Case Overview'!A1" display="Return to Test Case Overview" xr:uid="{00000000-0004-0000-65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3" id="{33CDEBA0-6998-409C-B5AF-B2DF3A2072DB}">
            <xm:f>'TC1'!$B8="HANGUP"</xm:f>
            <x14:dxf>
              <font>
                <b/>
                <i val="0"/>
              </font>
            </x14:dxf>
          </x14:cfRule>
          <x14:cfRule type="expression" priority="24" id="{C59D6765-F832-4D22-8892-7B79CEDF9010}">
            <xm:f>'TC1'!$B8="Dial"</xm:f>
            <x14:dxf>
              <font>
                <b/>
                <i val="0"/>
                <color rgb="FFFF0000"/>
              </font>
            </x14:dxf>
          </x14:cfRule>
          <xm:sqref>C8</xm:sqref>
        </x14:conditionalFormatting>
        <x14:conditionalFormatting xmlns:xm="http://schemas.microsoft.com/office/excel/2006/main">
          <x14:cfRule type="expression" priority="25" id="{E95734D5-6814-4A8F-A7B7-77109A426466}">
            <xm:f>'TC1'!$B8="Speak"</xm:f>
            <x14:dxf>
              <font>
                <b/>
                <i val="0"/>
                <color rgb="FFFF0000"/>
              </font>
            </x14:dxf>
          </x14:cfRule>
          <xm:sqref>C8</xm:sqref>
        </x14:conditionalFormatting>
        <x14:conditionalFormatting xmlns:xm="http://schemas.microsoft.com/office/excel/2006/main">
          <x14:cfRule type="containsText" priority="22" operator="containsText" text="DB" id="{45E1257E-658C-4BD2-A417-E98E2F8F5A85}">
            <xm:f>NOT(ISERROR(SEARCH("DB",'TC1'!E10)))</xm:f>
            <x14:dxf>
              <font>
                <color rgb="FF006100"/>
              </font>
              <fill>
                <patternFill>
                  <bgColor rgb="FFC6EFCE"/>
                </patternFill>
              </fill>
            </x14:dxf>
          </x14:cfRule>
          <x14:cfRule type="containsText" priority="26" operator="containsText" text="WEB SERVICE" id="{2F9BB99D-C97B-484B-925C-B1A5C3C0C0B2}">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2303" id="{33CDEBA0-6998-409C-B5AF-B2DF3A2072DB}">
            <xm:f>'TC1'!#REF!="HANGUP"</xm:f>
            <x14:dxf>
              <font>
                <b/>
                <i val="0"/>
              </font>
            </x14:dxf>
          </x14:cfRule>
          <x14:cfRule type="expression" priority="2304" id="{C59D6765-F832-4D22-8892-7B79CEDF9010}">
            <xm:f>'TC1'!#REF!="Dial"</xm:f>
            <x14:dxf>
              <font>
                <b/>
                <i val="0"/>
                <color rgb="FFFF0000"/>
              </font>
            </x14:dxf>
          </x14:cfRule>
          <xm:sqref>C13 C15 C17 C19:C22</xm:sqref>
        </x14:conditionalFormatting>
        <x14:conditionalFormatting xmlns:xm="http://schemas.microsoft.com/office/excel/2006/main">
          <x14:cfRule type="expression" priority="2309" id="{E95734D5-6814-4A8F-A7B7-77109A426466}">
            <xm:f>'TC1'!#REF!="Speak"</xm:f>
            <x14:dxf>
              <font>
                <b/>
                <i val="0"/>
                <color rgb="FFFF0000"/>
              </font>
            </x14:dxf>
          </x14:cfRule>
          <xm:sqref>C13 C15 C17 C19:C22</xm:sqref>
        </x14:conditionalFormatting>
        <x14:conditionalFormatting xmlns:xm="http://schemas.microsoft.com/office/excel/2006/main">
          <x14:cfRule type="containsText" priority="2315" operator="containsText" text="DB" id="{45E1257E-658C-4BD2-A417-E98E2F8F5A85}">
            <xm:f>NOT(ISERROR(SEARCH("DB",'TC1'!#REF!)))</xm:f>
            <x14:dxf>
              <font>
                <color rgb="FF006100"/>
              </font>
              <fill>
                <patternFill>
                  <bgColor rgb="FFC6EFCE"/>
                </patternFill>
              </fill>
            </x14:dxf>
          </x14:cfRule>
          <x14:cfRule type="containsText" priority="2316" operator="containsText" text="WEB SERVICE" id="{2F9BB99D-C97B-484B-925C-B1A5C3C0C0B2}">
            <xm:f>NOT(ISERROR(SEARCH("WEB SERVICE",'TC1'!#REF!)))</xm:f>
            <x14:dxf>
              <font>
                <color rgb="FF9C0006"/>
              </font>
              <fill>
                <patternFill>
                  <bgColor rgb="FFFFC7CE"/>
                </patternFill>
              </fill>
            </x14:dxf>
          </x14:cfRule>
          <xm:sqref>E13:E22</xm:sqref>
        </x14:conditionalFormatting>
        <x14:conditionalFormatting xmlns:xm="http://schemas.microsoft.com/office/excel/2006/main">
          <x14:cfRule type="expression" priority="4181" id="{33CDEBA0-6998-409C-B5AF-B2DF3A2072DB}">
            <xm:f>'TC1'!$B10="HANGUP"</xm:f>
            <x14:dxf>
              <font>
                <b/>
                <i val="0"/>
              </font>
            </x14:dxf>
          </x14:cfRule>
          <x14:cfRule type="expression" priority="4182" id="{C59D6765-F832-4D22-8892-7B79CEDF9010}">
            <xm:f>'TC1'!$B10="Dial"</xm:f>
            <x14:dxf>
              <font>
                <b/>
                <i val="0"/>
                <color rgb="FFFF0000"/>
              </font>
            </x14:dxf>
          </x14:cfRule>
          <xm:sqref>C9:C11</xm:sqref>
        </x14:conditionalFormatting>
        <x14:conditionalFormatting xmlns:xm="http://schemas.microsoft.com/office/excel/2006/main">
          <x14:cfRule type="expression" priority="4184" id="{E95734D5-6814-4A8F-A7B7-77109A426466}">
            <xm:f>'TC1'!$B10="Speak"</xm:f>
            <x14:dxf>
              <font>
                <b/>
                <i val="0"/>
                <color rgb="FFFF0000"/>
              </font>
            </x14:dxf>
          </x14:cfRule>
          <xm:sqref>C9:C11</xm:sqref>
        </x14:conditionalFormatting>
        <x14:conditionalFormatting xmlns:xm="http://schemas.microsoft.com/office/excel/2006/main">
          <x14:cfRule type="expression" priority="10" id="{EEC5C362-8D5E-4B00-9DB0-C2DE0AE334F7}">
            <xm:f>'TC1'!#REF!="HANGUP"</xm:f>
            <x14:dxf>
              <font>
                <b/>
                <i val="0"/>
              </font>
            </x14:dxf>
          </x14:cfRule>
          <x14:cfRule type="expression" priority="11" id="{6F14DDEB-76FF-4A76-8C82-69AFDDAA8398}">
            <xm:f>'TC1'!#REF!="Dial"</xm:f>
            <x14:dxf>
              <font>
                <b/>
                <i val="0"/>
                <color rgb="FFFF0000"/>
              </font>
            </x14:dxf>
          </x14:cfRule>
          <xm:sqref>C12</xm:sqref>
        </x14:conditionalFormatting>
        <x14:conditionalFormatting xmlns:xm="http://schemas.microsoft.com/office/excel/2006/main">
          <x14:cfRule type="expression" priority="12" id="{418DB64E-24B1-4058-8CBB-B4DA88D9E230}">
            <xm:f>'TC1'!#REF!="Speak"</xm:f>
            <x14:dxf>
              <font>
                <b/>
                <i val="0"/>
                <color rgb="FFFF0000"/>
              </font>
            </x14:dxf>
          </x14:cfRule>
          <xm:sqref>C12</xm:sqref>
        </x14:conditionalFormatting>
        <x14:conditionalFormatting xmlns:xm="http://schemas.microsoft.com/office/excel/2006/main">
          <x14:cfRule type="expression" priority="7" id="{86EB768C-7DD1-4D9F-B1A8-9D58BAD55A84}">
            <xm:f>'TC1'!#REF!="HANGUP"</xm:f>
            <x14:dxf>
              <font>
                <b/>
                <i val="0"/>
              </font>
            </x14:dxf>
          </x14:cfRule>
          <x14:cfRule type="expression" priority="8" id="{ABF8A74F-B670-420A-A818-97154CF7B893}">
            <xm:f>'TC1'!#REF!="Dial"</xm:f>
            <x14:dxf>
              <font>
                <b/>
                <i val="0"/>
                <color rgb="FFFF0000"/>
              </font>
            </x14:dxf>
          </x14:cfRule>
          <xm:sqref>C14</xm:sqref>
        </x14:conditionalFormatting>
        <x14:conditionalFormatting xmlns:xm="http://schemas.microsoft.com/office/excel/2006/main">
          <x14:cfRule type="expression" priority="9" id="{E7181D1C-E1AE-4946-B6D9-5DDFCDAD44A1}">
            <xm:f>'TC1'!#REF!="Speak"</xm:f>
            <x14:dxf>
              <font>
                <b/>
                <i val="0"/>
                <color rgb="FFFF0000"/>
              </font>
            </x14:dxf>
          </x14:cfRule>
          <xm:sqref>C14</xm:sqref>
        </x14:conditionalFormatting>
        <x14:conditionalFormatting xmlns:xm="http://schemas.microsoft.com/office/excel/2006/main">
          <x14:cfRule type="expression" priority="4" id="{DAB8E4D1-3154-4052-95A9-3D2704F8D78C}">
            <xm:f>'TC1'!#REF!="HANGUP"</xm:f>
            <x14:dxf>
              <font>
                <b/>
                <i val="0"/>
              </font>
            </x14:dxf>
          </x14:cfRule>
          <x14:cfRule type="expression" priority="5" id="{E08910E7-B586-4CD5-8C91-89DDDEB4AED4}">
            <xm:f>'TC1'!#REF!="Dial"</xm:f>
            <x14:dxf>
              <font>
                <b/>
                <i val="0"/>
                <color rgb="FFFF0000"/>
              </font>
            </x14:dxf>
          </x14:cfRule>
          <xm:sqref>C16</xm:sqref>
        </x14:conditionalFormatting>
        <x14:conditionalFormatting xmlns:xm="http://schemas.microsoft.com/office/excel/2006/main">
          <x14:cfRule type="expression" priority="6" id="{243F0ADB-BE0B-495F-B2A0-962180754285}">
            <xm:f>'TC1'!#REF!="Speak"</xm:f>
            <x14:dxf>
              <font>
                <b/>
                <i val="0"/>
                <color rgb="FFFF0000"/>
              </font>
            </x14:dxf>
          </x14:cfRule>
          <xm:sqref>C16</xm:sqref>
        </x14:conditionalFormatting>
        <x14:conditionalFormatting xmlns:xm="http://schemas.microsoft.com/office/excel/2006/main">
          <x14:cfRule type="expression" priority="1" id="{EDAD5516-3F61-4026-9EDD-224BBA1D7621}">
            <xm:f>'TC1'!#REF!="HANGUP"</xm:f>
            <x14:dxf>
              <font>
                <b/>
                <i val="0"/>
              </font>
            </x14:dxf>
          </x14:cfRule>
          <x14:cfRule type="expression" priority="2" id="{ABFC1583-8756-44FF-88A5-79ED4C55582D}">
            <xm:f>'TC1'!#REF!="Dial"</xm:f>
            <x14:dxf>
              <font>
                <b/>
                <i val="0"/>
                <color rgb="FFFF0000"/>
              </font>
            </x14:dxf>
          </x14:cfRule>
          <xm:sqref>C18</xm:sqref>
        </x14:conditionalFormatting>
        <x14:conditionalFormatting xmlns:xm="http://schemas.microsoft.com/office/excel/2006/main">
          <x14:cfRule type="expression" priority="3" id="{F0FA9894-863B-4CA5-AD5E-A5EBC9947254}">
            <xm:f>'TC1'!#REF!="Speak"</xm:f>
            <x14:dxf>
              <font>
                <b/>
                <i val="0"/>
                <color rgb="FFFF0000"/>
              </font>
            </x14:dxf>
          </x14:cfRule>
          <xm:sqref>C18</xm:sqref>
        </x14:conditionalFormatting>
      </x14:conditionalFormattings>
    </ext>
  </extLst>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codeName="Sheet104"/>
  <dimension ref="A1:E23"/>
  <sheetViews>
    <sheetView zoomScaleNormal="100" workbookViewId="0">
      <selection activeCell="H25" sqref="H25"/>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TC102</v>
      </c>
      <c r="C2" s="94"/>
      <c r="D2" s="107"/>
      <c r="E2" s="93"/>
    </row>
    <row r="3" spans="1:5">
      <c r="A3" s="100" t="s">
        <v>19</v>
      </c>
      <c r="B3" s="108">
        <f ca="1">VLOOKUP(B2,Table53[#All],2,FALSE)</f>
        <v>0</v>
      </c>
      <c r="C3" s="94"/>
      <c r="D3" s="107"/>
      <c r="E3" s="93"/>
    </row>
    <row r="4" spans="1:5" ht="45">
      <c r="A4" s="109" t="s">
        <v>20</v>
      </c>
      <c r="B4" s="95" t="str">
        <f ca="1">VLOOKUP(B2,Table53[#All],4,FALSE)</f>
        <v>svcArea=titleSvcs, serviceType=chgOwner, Not in progress or complete &lt;90days. 325-W-DF-R</v>
      </c>
      <c r="C4" s="94" t="s">
        <v>265</v>
      </c>
      <c r="D4" s="107"/>
      <c r="E4" s="93"/>
    </row>
    <row r="5" spans="1:5" ht="45">
      <c r="A5" s="100" t="s">
        <v>6</v>
      </c>
      <c r="B5" s="75" t="str">
        <f ca="1">VLOOKUP(B2,Table53[#All],3,FALSE)</f>
        <v xml:space="preserve">CallStart Main Menu /Title /Ownership changes/ID Auth=True/ remove owner at ChangeMenu/HU after hearing peg 0330 </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VLOOKUP(Table2575199129[[#This Row],[PEG]],Table1016[#All],2,FALSE)</f>
        <v>CallID.wav Call ID &lt;CallID&gt;</v>
      </c>
      <c r="D9" s="152" t="s">
        <v>477</v>
      </c>
      <c r="E9" s="122" t="str">
        <f>VLOOKUP(Table2575199129[[#This Row],[PEG]],Table1016[#All],3,FALSE)</f>
        <v>TEST</v>
      </c>
    </row>
    <row r="10" spans="1:5" ht="30">
      <c r="A10" s="114">
        <v>3</v>
      </c>
      <c r="B10" s="110" t="s">
        <v>115</v>
      </c>
      <c r="C10" s="105" t="str">
        <f>VLOOKUP(Table2575199129[[#This Row],[PEG]],Table1016[#All],2,FALSE)</f>
        <v>0100.wav Thank you for calling Shell vacations Club, we are glad you called. Please have your account number available for faster service. [To continue in Spanish, press 9]</v>
      </c>
      <c r="D10" s="152">
        <v>100</v>
      </c>
      <c r="E10" s="122" t="str">
        <f>VLOOKUP(Table2575199129[[#This Row],[PEG]],Table1016[#All],3,FALSE)</f>
        <v>PLAY PROMPT</v>
      </c>
    </row>
    <row r="11" spans="1:5" ht="30">
      <c r="A11" s="114">
        <v>4</v>
      </c>
      <c r="B11" s="110" t="s">
        <v>115</v>
      </c>
      <c r="C11" s="105" t="str">
        <f>VLOOKUP(Table2575199129[[#This Row],[PEG]],Table1016[#All],2,FALSE)</f>
        <v>0110-1.wav Which would you like? You can say... reservations, payments &amp; statements, title &amp; ownership changes, or more options.</v>
      </c>
      <c r="D11" s="152">
        <v>110</v>
      </c>
      <c r="E11" s="122" t="str">
        <f>VLOOKUP(Table2575199129[[#This Row],[PEG]],Table1016[#All],3,FALSE)</f>
        <v>MENU PROMPT</v>
      </c>
    </row>
    <row r="12" spans="1:5">
      <c r="A12" s="114">
        <v>5</v>
      </c>
      <c r="B12" s="110" t="s">
        <v>124</v>
      </c>
      <c r="C12" s="151" t="s">
        <v>486</v>
      </c>
      <c r="D12" s="152"/>
      <c r="E12" s="122" t="e">
        <f>VLOOKUP(Table2575199129[[#This Row],[PEG]],Table1016[#All],3,FALSE)</f>
        <v>#N/A</v>
      </c>
    </row>
    <row r="13" spans="1:5" ht="30">
      <c r="A13" s="114">
        <v>6</v>
      </c>
      <c r="B13" s="110" t="s">
        <v>115</v>
      </c>
      <c r="C13" s="105" t="str">
        <f>VLOOKUP(Table2575199129[[#This Row],[PEG]],Table1016[#All],2,FALSE)</f>
        <v>0300-1.wav You can say ownership changes, check status, make a payment, or help me with something else. Which would you like?</v>
      </c>
      <c r="D13" s="152">
        <v>300</v>
      </c>
      <c r="E13" s="122" t="str">
        <f>VLOOKUP(Table2575199129[[#This Row],[PEG]],Table1016[#All],3,FALSE)</f>
        <v>MENU PROMPT</v>
      </c>
    </row>
    <row r="14" spans="1:5">
      <c r="A14" s="114">
        <v>7</v>
      </c>
      <c r="B14" s="110" t="s">
        <v>124</v>
      </c>
      <c r="C14" s="151" t="s">
        <v>486</v>
      </c>
      <c r="D14" s="125"/>
      <c r="E14" s="122" t="e">
        <f>VLOOKUP(Table2575199129[[#This Row],[PEG]],Table1016[#All],3,FALSE)</f>
        <v>#N/A</v>
      </c>
    </row>
    <row r="15" spans="1:5">
      <c r="A15" s="114">
        <v>8</v>
      </c>
      <c r="B15" s="110" t="s">
        <v>115</v>
      </c>
      <c r="C15" s="105" t="str">
        <f>VLOOKUP(Table2575199129[[#This Row],[PEG]],Table1016[#All],2,FALSE)</f>
        <v>0200-1.wav To get started, what is your account number?</v>
      </c>
      <c r="D15" s="153">
        <v>200</v>
      </c>
      <c r="E15" s="122" t="str">
        <f>VLOOKUP(Table2575199129[[#This Row],[PEG]],Table1016[#All],3,FALSE)</f>
        <v>MENU PROMPT</v>
      </c>
    </row>
    <row r="16" spans="1:5">
      <c r="A16" s="114">
        <v>9</v>
      </c>
      <c r="B16" s="110" t="s">
        <v>114</v>
      </c>
      <c r="C16" s="151" t="s">
        <v>515</v>
      </c>
      <c r="D16" s="112"/>
      <c r="E16" s="122" t="e">
        <f>VLOOKUP(Table2575199129[[#This Row],[PEG]],Table1016[#All],3,FALSE)</f>
        <v>#N/A</v>
      </c>
    </row>
    <row r="17" spans="1:5">
      <c r="A17" s="114">
        <v>10</v>
      </c>
      <c r="B17" s="110" t="s">
        <v>115</v>
      </c>
      <c r="C17" s="105" t="str">
        <f>VLOOKUP(Table2575199129[[#This Row],[PEG]],Table1016[#All],2,FALSE)</f>
        <v>0210-1.wav And the date of birth for the primary owner?</v>
      </c>
      <c r="D17" s="154">
        <v>210</v>
      </c>
      <c r="E17" s="122" t="str">
        <f>VLOOKUP(Table2575199129[[#This Row],[PEG]],Table1016[#All],3,FALSE)</f>
        <v>MENU PROMPT</v>
      </c>
    </row>
    <row r="18" spans="1:5">
      <c r="A18" s="114">
        <v>11</v>
      </c>
      <c r="B18" s="110" t="s">
        <v>124</v>
      </c>
      <c r="C18" s="151" t="s">
        <v>524</v>
      </c>
      <c r="D18" s="113"/>
      <c r="E18" s="122" t="e">
        <f>VLOOKUP(Table2575199129[[#This Row],[PEG]],Table1016[#All],3,FALSE)</f>
        <v>#N/A</v>
      </c>
    </row>
    <row r="19" spans="1:5" ht="45">
      <c r="A19" s="114">
        <v>12</v>
      </c>
      <c r="B19" s="110" t="s">
        <v>115</v>
      </c>
      <c r="C19" s="105" t="str">
        <f>VLOOKUP(Table2575199129[[#This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54">
        <v>320</v>
      </c>
      <c r="E19" s="122" t="str">
        <f>VLOOKUP(Table2575199129[[#This Row],[PEG]],Table1016[#All],3,FALSE)</f>
        <v>MENU PROMPT</v>
      </c>
    </row>
    <row r="20" spans="1:5">
      <c r="A20" s="114">
        <v>13</v>
      </c>
      <c r="B20" s="110" t="s">
        <v>124</v>
      </c>
      <c r="C20" s="151" t="s">
        <v>558</v>
      </c>
      <c r="D20" s="113"/>
      <c r="E20" s="122" t="e">
        <f>VLOOKUP(Table2575199129[[#This Row],[PEG]],Table1016[#All],3,FALSE)</f>
        <v>#N/A</v>
      </c>
    </row>
    <row r="21" spans="1:5" ht="60">
      <c r="A21" s="114">
        <v>14</v>
      </c>
      <c r="B21" s="110" t="s">
        <v>115</v>
      </c>
      <c r="C21" s="105" t="str">
        <f>VLOOKUP(Table2575199129[[#This Row],[PEG]],Table1016[#All],2,FALSE)</f>
        <v>Wyndham requires a new recorded deed from the county where you own the property. We recommend that you use a licensed professional to execute the document . Please send the information to 6277 Sea Harbor Drive, Orlando Florida 32821, attention, Worldmark Ownership Change or via email to worldmarkownershipchange@wyn.com.</v>
      </c>
      <c r="D21" s="94" t="s">
        <v>265</v>
      </c>
      <c r="E21" s="122" t="str">
        <f>VLOOKUP(Table2575199129[[#This Row],[PEG]],Table1016[#All],3,FALSE)</f>
        <v>PLAY PROMPT</v>
      </c>
    </row>
    <row r="22" spans="1:5" ht="30">
      <c r="A22" s="114">
        <v>15</v>
      </c>
      <c r="B22" s="110" t="s">
        <v>115</v>
      </c>
      <c r="C22" s="105" t="str">
        <f>VLOOKUP(Table2575199129[[#This Row],[PEG]],Table1016[#All],2,FALSE)</f>
        <v>0330-1.wav To hear this information again, say repeat that. If you would like me to send you a letter with instructions to start the process, say information letter.</v>
      </c>
      <c r="D22" s="154">
        <v>330</v>
      </c>
      <c r="E22" s="122" t="str">
        <f>VLOOKUP(Table2575199129[[#This Row],[PEG]],Table1016[#All],3,FALSE)</f>
        <v>MENU PROMPT</v>
      </c>
    </row>
    <row r="23" spans="1:5">
      <c r="A23" s="114">
        <v>16</v>
      </c>
      <c r="B23" s="110" t="s">
        <v>13</v>
      </c>
      <c r="C23" s="17" t="s">
        <v>13</v>
      </c>
      <c r="D23" s="111"/>
      <c r="E23" s="31"/>
    </row>
  </sheetData>
  <mergeCells count="1">
    <mergeCell ref="A1:B1"/>
  </mergeCells>
  <conditionalFormatting sqref="B8 B23">
    <cfRule type="containsText" dxfId="3050" priority="19" operator="containsText" text="Hear">
      <formula>NOT(ISERROR(SEARCH("Hear",B8)))</formula>
    </cfRule>
  </conditionalFormatting>
  <conditionalFormatting sqref="E23">
    <cfRule type="containsText" dxfId="3049" priority="30" operator="containsText" text="WEB SERVICE">
      <formula>NOT(ISERROR(SEARCH("WEB SERVICE",E23)))</formula>
    </cfRule>
    <cfRule type="containsText" dxfId="3048" priority="31" operator="containsText" text="DB">
      <formula>NOT(ISERROR(SEARCH("DB",E23)))</formula>
    </cfRule>
  </conditionalFormatting>
  <conditionalFormatting sqref="C23">
    <cfRule type="expression" dxfId="3047" priority="33">
      <formula>$B23="Dial"</formula>
    </cfRule>
    <cfRule type="expression" dxfId="3046" priority="35">
      <formula>$B23="HANGUP"</formula>
    </cfRule>
  </conditionalFormatting>
  <conditionalFormatting sqref="C23">
    <cfRule type="expression" dxfId="3045" priority="34">
      <formula>$B23="Speak"</formula>
    </cfRule>
  </conditionalFormatting>
  <conditionalFormatting sqref="B20:B22">
    <cfRule type="containsText" dxfId="3044" priority="18" operator="containsText" text="Hear">
      <formula>NOT(ISERROR(SEARCH("Hear",B20)))</formula>
    </cfRule>
  </conditionalFormatting>
  <conditionalFormatting sqref="B18:B19">
    <cfRule type="containsText" dxfId="3043" priority="17" operator="containsText" text="Hear">
      <formula>NOT(ISERROR(SEARCH("Hear",B18)))</formula>
    </cfRule>
  </conditionalFormatting>
  <conditionalFormatting sqref="B9:B17">
    <cfRule type="containsText" dxfId="3042" priority="16" operator="containsText" text="Hear">
      <formula>NOT(ISERROR(SEARCH("Hear",B9)))</formula>
    </cfRule>
  </conditionalFormatting>
  <hyperlinks>
    <hyperlink ref="A1" location="'Test Case Overview'!A1" display="Return to Test Case Overview" xr:uid="{00000000-0004-0000-66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0" id="{7070C7D1-CDD0-4993-A641-85E03136AE18}">
            <xm:f>'TC1'!$B8="Dial"</xm:f>
            <x14:dxf>
              <font>
                <b/>
                <i val="0"/>
                <color rgb="FFFF0000"/>
              </font>
            </x14:dxf>
          </x14:cfRule>
          <x14:cfRule type="expression" priority="36" id="{60E05739-7136-43B4-8F1A-30557E95F685}">
            <xm:f>'TC1'!$B8="HANGUP"</xm:f>
            <x14:dxf>
              <font>
                <b/>
                <i val="0"/>
              </font>
            </x14:dxf>
          </x14:cfRule>
          <xm:sqref>C8</xm:sqref>
        </x14:conditionalFormatting>
        <x14:conditionalFormatting xmlns:xm="http://schemas.microsoft.com/office/excel/2006/main">
          <x14:cfRule type="expression" priority="37" id="{1E9DFDEC-7BF7-4B03-B559-D1892083FAF6}">
            <xm:f>'TC1'!$B8="Speak"</xm:f>
            <x14:dxf>
              <font>
                <b/>
                <i val="0"/>
                <color rgb="FFFF0000"/>
              </font>
            </x14:dxf>
          </x14:cfRule>
          <xm:sqref>C8</xm:sqref>
        </x14:conditionalFormatting>
        <x14:conditionalFormatting xmlns:xm="http://schemas.microsoft.com/office/excel/2006/main">
          <x14:cfRule type="containsText" priority="38" operator="containsText" text="DB" id="{E368BBFC-A6B9-45C1-BF7D-87C5324180B7}">
            <xm:f>NOT(ISERROR(SEARCH("DB",'TC1'!E10)))</xm:f>
            <x14:dxf>
              <font>
                <color rgb="FF006100"/>
              </font>
              <fill>
                <patternFill>
                  <bgColor rgb="FFC6EFCE"/>
                </patternFill>
              </fill>
            </x14:dxf>
          </x14:cfRule>
          <x14:cfRule type="containsText" priority="38" operator="containsText" text="WEB SERVICE" id="{01A1980F-B126-43CD-A55E-B3B731EBF64B}">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2326" id="{7070C7D1-CDD0-4993-A641-85E03136AE18}">
            <xm:f>'TC1'!#REF!="Dial"</xm:f>
            <x14:dxf>
              <font>
                <b/>
                <i val="0"/>
                <color rgb="FFFF0000"/>
              </font>
            </x14:dxf>
          </x14:cfRule>
          <x14:cfRule type="expression" priority="2327" id="{60E05739-7136-43B4-8F1A-30557E95F685}">
            <xm:f>'TC1'!#REF!="HANGUP"</xm:f>
            <x14:dxf>
              <font>
                <b/>
                <i val="0"/>
              </font>
            </x14:dxf>
          </x14:cfRule>
          <xm:sqref>C13 C15 C17 C19:C22</xm:sqref>
        </x14:conditionalFormatting>
        <x14:conditionalFormatting xmlns:xm="http://schemas.microsoft.com/office/excel/2006/main">
          <x14:cfRule type="expression" priority="2332" id="{1E9DFDEC-7BF7-4B03-B559-D1892083FAF6}">
            <xm:f>'TC1'!#REF!="Speak"</xm:f>
            <x14:dxf>
              <font>
                <b/>
                <i val="0"/>
                <color rgb="FFFF0000"/>
              </font>
            </x14:dxf>
          </x14:cfRule>
          <xm:sqref>C13 C15 C17 C19:C22</xm:sqref>
        </x14:conditionalFormatting>
        <x14:conditionalFormatting xmlns:xm="http://schemas.microsoft.com/office/excel/2006/main">
          <x14:cfRule type="containsText" priority="2338" operator="containsText" text="DB" id="{E368BBFC-A6B9-45C1-BF7D-87C5324180B7}">
            <xm:f>NOT(ISERROR(SEARCH("DB",'TC1'!#REF!)))</xm:f>
            <x14:dxf>
              <font>
                <color rgb="FF006100"/>
              </font>
              <fill>
                <patternFill>
                  <bgColor rgb="FFC6EFCE"/>
                </patternFill>
              </fill>
            </x14:dxf>
          </x14:cfRule>
          <x14:cfRule type="containsText" priority="2339" operator="containsText" text="WEB SERVICE" id="{01A1980F-B126-43CD-A55E-B3B731EBF64B}">
            <xm:f>NOT(ISERROR(SEARCH("WEB SERVICE",'TC1'!#REF!)))</xm:f>
            <x14:dxf>
              <font>
                <color rgb="FF9C0006"/>
              </font>
              <fill>
                <patternFill>
                  <bgColor rgb="FFFFC7CE"/>
                </patternFill>
              </fill>
            </x14:dxf>
          </x14:cfRule>
          <xm:sqref>E13:E22</xm:sqref>
        </x14:conditionalFormatting>
        <x14:conditionalFormatting xmlns:xm="http://schemas.microsoft.com/office/excel/2006/main">
          <x14:cfRule type="expression" priority="4192" id="{7070C7D1-CDD0-4993-A641-85E03136AE18}">
            <xm:f>'TC1'!$B10="Dial"</xm:f>
            <x14:dxf>
              <font>
                <b/>
                <i val="0"/>
                <color rgb="FFFF0000"/>
              </font>
            </x14:dxf>
          </x14:cfRule>
          <x14:cfRule type="expression" priority="4193" id="{60E05739-7136-43B4-8F1A-30557E95F685}">
            <xm:f>'TC1'!$B10="HANGUP"</xm:f>
            <x14:dxf>
              <font>
                <b/>
                <i val="0"/>
              </font>
            </x14:dxf>
          </x14:cfRule>
          <xm:sqref>C9:C11</xm:sqref>
        </x14:conditionalFormatting>
        <x14:conditionalFormatting xmlns:xm="http://schemas.microsoft.com/office/excel/2006/main">
          <x14:cfRule type="expression" priority="4195" id="{1E9DFDEC-7BF7-4B03-B559-D1892083FAF6}">
            <xm:f>'TC1'!$B10="Speak"</xm:f>
            <x14:dxf>
              <font>
                <b/>
                <i val="0"/>
                <color rgb="FFFF0000"/>
              </font>
            </x14:dxf>
          </x14:cfRule>
          <xm:sqref>C9:C11</xm:sqref>
        </x14:conditionalFormatting>
        <x14:conditionalFormatting xmlns:xm="http://schemas.microsoft.com/office/excel/2006/main">
          <x14:cfRule type="expression" priority="1" id="{FE49C30D-9A74-40F9-AE3F-4D8649EFC3DC}">
            <xm:f>'TC1'!#REF!="HANGUP"</xm:f>
            <x14:dxf>
              <font>
                <b/>
                <i val="0"/>
              </font>
            </x14:dxf>
          </x14:cfRule>
          <x14:cfRule type="expression" priority="2" id="{052C0367-534E-4F2D-81D9-2196B1B457F0}">
            <xm:f>'TC1'!#REF!="Dial"</xm:f>
            <x14:dxf>
              <font>
                <b/>
                <i val="0"/>
                <color rgb="FFFF0000"/>
              </font>
            </x14:dxf>
          </x14:cfRule>
          <xm:sqref>C18</xm:sqref>
        </x14:conditionalFormatting>
        <x14:conditionalFormatting xmlns:xm="http://schemas.microsoft.com/office/excel/2006/main">
          <x14:cfRule type="expression" priority="3" id="{623717FC-70BF-4526-8770-F018F7532CB3}">
            <xm:f>'TC1'!#REF!="Speak"</xm:f>
            <x14:dxf>
              <font>
                <b/>
                <i val="0"/>
                <color rgb="FFFF0000"/>
              </font>
            </x14:dxf>
          </x14:cfRule>
          <xm:sqref>C18</xm:sqref>
        </x14:conditionalFormatting>
        <x14:conditionalFormatting xmlns:xm="http://schemas.microsoft.com/office/excel/2006/main">
          <x14:cfRule type="expression" priority="4" id="{7842FEEC-A93C-46EE-9209-506948433947}">
            <xm:f>'TC1'!#REF!="HANGUP"</xm:f>
            <x14:dxf>
              <font>
                <b/>
                <i val="0"/>
              </font>
            </x14:dxf>
          </x14:cfRule>
          <x14:cfRule type="expression" priority="5" id="{2B191119-5D70-4D0D-A59F-730548BCBC71}">
            <xm:f>'TC1'!#REF!="Dial"</xm:f>
            <x14:dxf>
              <font>
                <b/>
                <i val="0"/>
                <color rgb="FFFF0000"/>
              </font>
            </x14:dxf>
          </x14:cfRule>
          <xm:sqref>C16</xm:sqref>
        </x14:conditionalFormatting>
        <x14:conditionalFormatting xmlns:xm="http://schemas.microsoft.com/office/excel/2006/main">
          <x14:cfRule type="expression" priority="7" id="{DA60D05E-1374-4831-A2AD-35B72B0928F4}">
            <xm:f>'TC1'!#REF!="HANGUP"</xm:f>
            <x14:dxf>
              <font>
                <b/>
                <i val="0"/>
              </font>
            </x14:dxf>
          </x14:cfRule>
          <x14:cfRule type="expression" priority="8" id="{68F9166C-4D89-40B2-A4A7-727C42AC22C1}">
            <xm:f>'TC1'!#REF!="Dial"</xm:f>
            <x14:dxf>
              <font>
                <b/>
                <i val="0"/>
                <color rgb="FFFF0000"/>
              </font>
            </x14:dxf>
          </x14:cfRule>
          <xm:sqref>C14 C12</xm:sqref>
        </x14:conditionalFormatting>
        <x14:conditionalFormatting xmlns:xm="http://schemas.microsoft.com/office/excel/2006/main">
          <x14:cfRule type="expression" priority="9" id="{5324CD65-E3A0-460E-AD24-01CD4A391D21}">
            <xm:f>'TC1'!#REF!="Speak"</xm:f>
            <x14:dxf>
              <font>
                <b/>
                <i val="0"/>
                <color rgb="FFFF0000"/>
              </font>
            </x14:dxf>
          </x14:cfRule>
          <xm:sqref>C14 C12</xm:sqref>
        </x14:conditionalFormatting>
        <x14:conditionalFormatting xmlns:xm="http://schemas.microsoft.com/office/excel/2006/main">
          <x14:cfRule type="expression" priority="6" id="{A7128185-8455-4950-8836-D463FD29520B}">
            <xm:f>'TC1'!#REF!="Speak"</xm:f>
            <x14:dxf>
              <font>
                <b/>
                <i val="0"/>
                <color rgb="FFFF0000"/>
              </font>
            </x14:dxf>
          </x14:cfRule>
          <xm:sqref>C16</xm:sqref>
        </x14:conditionalFormatting>
      </x14:conditionalFormattings>
    </ext>
  </extLst>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codeName="Sheet105"/>
  <dimension ref="A1:E23"/>
  <sheetViews>
    <sheetView zoomScaleNormal="100" workbookViewId="0">
      <selection activeCell="C26" sqref="C26"/>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TC103</v>
      </c>
      <c r="C2" s="94"/>
      <c r="D2" s="107"/>
      <c r="E2" s="93"/>
    </row>
    <row r="3" spans="1:5">
      <c r="A3" s="100" t="s">
        <v>19</v>
      </c>
      <c r="B3" s="108">
        <f ca="1">VLOOKUP(B2,Table53[#All],2,FALSE)</f>
        <v>0</v>
      </c>
      <c r="C3" s="94"/>
      <c r="D3" s="107"/>
      <c r="E3" s="93"/>
    </row>
    <row r="4" spans="1:5" ht="45">
      <c r="A4" s="109" t="s">
        <v>20</v>
      </c>
      <c r="B4" s="95" t="str">
        <f ca="1">VLOOKUP(B2,Table53[#All],4,FALSE)</f>
        <v>svcArea=titleSvcs, serviceType=chgOwnership, Not in progress or complete &lt;90days. 325-W-ND-T</v>
      </c>
      <c r="C4" s="94" t="s">
        <v>267</v>
      </c>
      <c r="D4" s="107"/>
      <c r="E4" s="93"/>
    </row>
    <row r="5" spans="1:5" ht="45">
      <c r="A5" s="100" t="s">
        <v>6</v>
      </c>
      <c r="B5" s="75" t="str">
        <f ca="1">VLOOKUP(B2,Table53[#All],3,FALSE)</f>
        <v xml:space="preserve">CallStart Main Menu /Title /Ownership changes/ID Auth=True/ownership trust at ChangeMenu/HU after hearing peg 0330 </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VLOOKUP(Table2575199131[[#This Row],[PEG]],Table1016[#All],2,FALSE)</f>
        <v>CallID.wav Call ID &lt;CallID&gt;</v>
      </c>
      <c r="D9" s="152" t="s">
        <v>477</v>
      </c>
      <c r="E9" s="122" t="str">
        <f>VLOOKUP(Table2575199131[[#This Row],[PEG]],Table1016[#All],3,FALSE)</f>
        <v>TEST</v>
      </c>
    </row>
    <row r="10" spans="1:5" ht="30">
      <c r="A10" s="114">
        <v>3</v>
      </c>
      <c r="B10" s="110" t="s">
        <v>115</v>
      </c>
      <c r="C10" s="105" t="str">
        <f>VLOOKUP(Table2575199131[[#This Row],[PEG]],Table1016[#All],2,FALSE)</f>
        <v>0100.wav Thank you for calling Shell vacations Club, we are glad you called. Please have your account number available for faster service. [To continue in Spanish, press 9]</v>
      </c>
      <c r="D10" s="152">
        <v>100</v>
      </c>
      <c r="E10" s="122" t="str">
        <f>VLOOKUP(Table2575199131[[#This Row],[PEG]],Table1016[#All],3,FALSE)</f>
        <v>PLAY PROMPT</v>
      </c>
    </row>
    <row r="11" spans="1:5" ht="30">
      <c r="A11" s="114">
        <v>4</v>
      </c>
      <c r="B11" s="110" t="s">
        <v>115</v>
      </c>
      <c r="C11" s="105" t="str">
        <f>VLOOKUP(Table2575199131[[#This Row],[PEG]],Table1016[#All],2,FALSE)</f>
        <v>0110-1.wav Which would you like? You can say... reservations, payments &amp; statements, title &amp; ownership changes, or more options.</v>
      </c>
      <c r="D11" s="152">
        <v>110</v>
      </c>
      <c r="E11" s="122" t="str">
        <f>VLOOKUP(Table2575199131[[#This Row],[PEG]],Table1016[#All],3,FALSE)</f>
        <v>MENU PROMPT</v>
      </c>
    </row>
    <row r="12" spans="1:5">
      <c r="A12" s="114">
        <v>5</v>
      </c>
      <c r="B12" s="110" t="s">
        <v>124</v>
      </c>
      <c r="C12" s="151" t="s">
        <v>486</v>
      </c>
      <c r="D12" s="152"/>
      <c r="E12" s="122" t="e">
        <f>VLOOKUP(Table2575199131[[#This Row],[PEG]],Table1016[#All],3,FALSE)</f>
        <v>#N/A</v>
      </c>
    </row>
    <row r="13" spans="1:5" ht="30">
      <c r="A13" s="114">
        <v>6</v>
      </c>
      <c r="B13" s="110" t="s">
        <v>115</v>
      </c>
      <c r="C13" s="105" t="str">
        <f>VLOOKUP(Table2575199131[[#This Row],[PEG]],Table1016[#All],2,FALSE)</f>
        <v>0300-1.wav You can say ownership changes, check status, make a payment, or help me with something else. Which would you like?</v>
      </c>
      <c r="D13" s="152">
        <v>300</v>
      </c>
      <c r="E13" s="122" t="str">
        <f>VLOOKUP(Table2575199131[[#This Row],[PEG]],Table1016[#All],3,FALSE)</f>
        <v>MENU PROMPT</v>
      </c>
    </row>
    <row r="14" spans="1:5">
      <c r="A14" s="114">
        <v>7</v>
      </c>
      <c r="B14" s="110" t="s">
        <v>124</v>
      </c>
      <c r="C14" s="151" t="s">
        <v>527</v>
      </c>
      <c r="D14" s="125"/>
      <c r="E14" s="122" t="e">
        <f>VLOOKUP(Table2575199131[[#This Row],[PEG]],Table1016[#All],3,FALSE)</f>
        <v>#N/A</v>
      </c>
    </row>
    <row r="15" spans="1:5">
      <c r="A15" s="114">
        <v>8</v>
      </c>
      <c r="B15" s="110" t="s">
        <v>115</v>
      </c>
      <c r="C15" s="105" t="str">
        <f>VLOOKUP(Table2575199131[[#This Row],[PEG]],Table1016[#All],2,FALSE)</f>
        <v>0200-1.wav To get started, what is your account number?</v>
      </c>
      <c r="D15" s="153">
        <v>200</v>
      </c>
      <c r="E15" s="122" t="str">
        <f>VLOOKUP(Table2575199131[[#This Row],[PEG]],Table1016[#All],3,FALSE)</f>
        <v>MENU PROMPT</v>
      </c>
    </row>
    <row r="16" spans="1:5">
      <c r="A16" s="114">
        <v>9</v>
      </c>
      <c r="B16" s="110" t="s">
        <v>114</v>
      </c>
      <c r="C16" s="151" t="s">
        <v>515</v>
      </c>
      <c r="D16" s="112"/>
      <c r="E16" s="122" t="e">
        <f>VLOOKUP(Table2575199131[[#This Row],[PEG]],Table1016[#All],3,FALSE)</f>
        <v>#N/A</v>
      </c>
    </row>
    <row r="17" spans="1:5">
      <c r="A17" s="114">
        <v>10</v>
      </c>
      <c r="B17" s="110" t="s">
        <v>115</v>
      </c>
      <c r="C17" s="105" t="str">
        <f>VLOOKUP(Table2575199131[[#This Row],[PEG]],Table1016[#All],2,FALSE)</f>
        <v>0210-1.wav And the date of birth for the primary owner?</v>
      </c>
      <c r="D17" s="154">
        <v>210</v>
      </c>
      <c r="E17" s="122" t="str">
        <f>VLOOKUP(Table2575199131[[#This Row],[PEG]],Table1016[#All],3,FALSE)</f>
        <v>MENU PROMPT</v>
      </c>
    </row>
    <row r="18" spans="1:5">
      <c r="A18" s="114">
        <v>11</v>
      </c>
      <c r="B18" s="110" t="s">
        <v>124</v>
      </c>
      <c r="C18" s="151" t="s">
        <v>524</v>
      </c>
      <c r="D18" s="113"/>
      <c r="E18" s="122" t="e">
        <f>VLOOKUP(Table2575199131[[#This Row],[PEG]],Table1016[#All],3,FALSE)</f>
        <v>#N/A</v>
      </c>
    </row>
    <row r="19" spans="1:5" ht="45">
      <c r="A19" s="114">
        <v>12</v>
      </c>
      <c r="B19" s="110" t="s">
        <v>115</v>
      </c>
      <c r="C19" s="105" t="str">
        <f>VLOOKUP(Table2575199131[[#This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54">
        <v>320</v>
      </c>
      <c r="E19" s="122" t="str">
        <f>VLOOKUP(Table2575199131[[#This Row],[PEG]],Table1016[#All],3,FALSE)</f>
        <v>MENU PROMPT</v>
      </c>
    </row>
    <row r="20" spans="1:5">
      <c r="A20" s="114">
        <v>13</v>
      </c>
      <c r="B20" s="110" t="s">
        <v>124</v>
      </c>
      <c r="C20" s="151" t="s">
        <v>559</v>
      </c>
      <c r="D20" s="113"/>
      <c r="E20" s="122" t="e">
        <f>VLOOKUP(Table2575199131[[#This Row],[PEG]],Table1016[#All],3,FALSE)</f>
        <v>#N/A</v>
      </c>
    </row>
    <row r="21" spans="1:5" ht="90">
      <c r="A21" s="114">
        <v>14</v>
      </c>
      <c r="B21" s="110" t="s">
        <v>115</v>
      </c>
      <c r="C21" s="105" t="str">
        <f>VLOOKUP(Table2575199131[[#This Row],[PEG]],Table1016[#All],2,FALSE)</f>
        <v>Wyndham requires a $299 processing fee to update ownership, in addition, a written request with each of the Trustee’s or company representative, first and last name, address, phone number, email address, date of birth, and copy of government issued ID. Please send the information to 6277 Sea Harbor Drive, Orlando Florida 32821, attention, Worldmark Ownership Change. In addition, please send a copy of your trust documents or corporate documents and current certificate of good standing. Once the information and fee is received, Wyndham will send paperwork to reference the trust and company in the account to be signed in front of a notary and returned.</v>
      </c>
      <c r="D21" s="94" t="s">
        <v>267</v>
      </c>
      <c r="E21" s="122" t="str">
        <f>VLOOKUP(Table2575199131[[#This Row],[PEG]],Table1016[#All],3,FALSE)</f>
        <v>PLAY PROMPT</v>
      </c>
    </row>
    <row r="22" spans="1:5" ht="30">
      <c r="A22" s="114">
        <v>15</v>
      </c>
      <c r="B22" s="110" t="s">
        <v>115</v>
      </c>
      <c r="C22" s="105" t="str">
        <f>VLOOKUP(Table2575199131[[#This Row],[PEG]],Table1016[#All],2,FALSE)</f>
        <v>0330-1.wav To hear this information again, say repeat that. If you would like me to send you a letter with instructions to start the process, say information letter.</v>
      </c>
      <c r="D22" s="154">
        <v>330</v>
      </c>
      <c r="E22" s="122" t="str">
        <f>VLOOKUP(Table2575199131[[#This Row],[PEG]],Table1016[#All],3,FALSE)</f>
        <v>MENU PROMPT</v>
      </c>
    </row>
    <row r="23" spans="1:5">
      <c r="A23" s="114">
        <v>16</v>
      </c>
      <c r="B23" s="110" t="s">
        <v>13</v>
      </c>
      <c r="C23" s="17" t="s">
        <v>13</v>
      </c>
      <c r="D23" s="111"/>
      <c r="E23" s="31"/>
    </row>
  </sheetData>
  <mergeCells count="1">
    <mergeCell ref="A1:B1"/>
  </mergeCells>
  <conditionalFormatting sqref="B8 B23">
    <cfRule type="containsText" dxfId="3010" priority="16" operator="containsText" text="Hear">
      <formula>NOT(ISERROR(SEARCH("Hear",B8)))</formula>
    </cfRule>
  </conditionalFormatting>
  <conditionalFormatting sqref="E23">
    <cfRule type="containsText" dxfId="3009" priority="27" operator="containsText" text="WEB SERVICE">
      <formula>NOT(ISERROR(SEARCH("WEB SERVICE",E23)))</formula>
    </cfRule>
    <cfRule type="containsText" dxfId="3008" priority="28" operator="containsText" text="DB">
      <formula>NOT(ISERROR(SEARCH("DB",E23)))</formula>
    </cfRule>
  </conditionalFormatting>
  <conditionalFormatting sqref="C23">
    <cfRule type="expression" dxfId="3007" priority="30">
      <formula>$B23="Dial"</formula>
    </cfRule>
    <cfRule type="expression" dxfId="3006" priority="32">
      <formula>$B23="HANGUP"</formula>
    </cfRule>
  </conditionalFormatting>
  <conditionalFormatting sqref="C23">
    <cfRule type="expression" dxfId="3005" priority="31">
      <formula>$B23="Speak"</formula>
    </cfRule>
  </conditionalFormatting>
  <conditionalFormatting sqref="B20:B22">
    <cfRule type="containsText" dxfId="3004" priority="15" operator="containsText" text="Hear">
      <formula>NOT(ISERROR(SEARCH("Hear",B20)))</formula>
    </cfRule>
  </conditionalFormatting>
  <conditionalFormatting sqref="B18:B19">
    <cfRule type="containsText" dxfId="3003" priority="14" operator="containsText" text="Hear">
      <formula>NOT(ISERROR(SEARCH("Hear",B18)))</formula>
    </cfRule>
  </conditionalFormatting>
  <conditionalFormatting sqref="B9:B17">
    <cfRule type="containsText" dxfId="3002" priority="13" operator="containsText" text="Hear">
      <formula>NOT(ISERROR(SEARCH("Hear",B9)))</formula>
    </cfRule>
  </conditionalFormatting>
  <hyperlinks>
    <hyperlink ref="A1" location="'Test Case Overview'!A1" display="Return to Test Case Overview" xr:uid="{00000000-0004-0000-67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7" id="{3AC12AF2-9980-4FD5-8217-75D48B276896}">
            <xm:f>'TC1'!$B8="Dial"</xm:f>
            <x14:dxf>
              <font>
                <b/>
                <i val="0"/>
                <color rgb="FFFF0000"/>
              </font>
            </x14:dxf>
          </x14:cfRule>
          <x14:cfRule type="expression" priority="33" id="{8B0B6508-B587-4A06-927C-E726E3E1D2AC}">
            <xm:f>'TC1'!$B8="HANGUP"</xm:f>
            <x14:dxf>
              <font>
                <b/>
                <i val="0"/>
              </font>
            </x14:dxf>
          </x14:cfRule>
          <xm:sqref>C8</xm:sqref>
        </x14:conditionalFormatting>
        <x14:conditionalFormatting xmlns:xm="http://schemas.microsoft.com/office/excel/2006/main">
          <x14:cfRule type="expression" priority="34" id="{18972901-F48F-47FF-AFE8-46CC36EE5200}">
            <xm:f>'TC1'!$B8="Speak"</xm:f>
            <x14:dxf>
              <font>
                <b/>
                <i val="0"/>
                <color rgb="FFFF0000"/>
              </font>
            </x14:dxf>
          </x14:cfRule>
          <xm:sqref>C8</xm:sqref>
        </x14:conditionalFormatting>
        <x14:conditionalFormatting xmlns:xm="http://schemas.microsoft.com/office/excel/2006/main">
          <x14:cfRule type="containsText" priority="35" operator="containsText" text="DB" id="{EB170E94-1CA5-44C3-AE1B-67AAFFE18889}">
            <xm:f>NOT(ISERROR(SEARCH("DB",'TC1'!E10)))</xm:f>
            <x14:dxf>
              <font>
                <color rgb="FF006100"/>
              </font>
              <fill>
                <patternFill>
                  <bgColor rgb="FFC6EFCE"/>
                </patternFill>
              </fill>
            </x14:dxf>
          </x14:cfRule>
          <x14:cfRule type="containsText" priority="35" operator="containsText" text="WEB SERVICE" id="{DB9770A4-DFBC-44D4-B485-CFDBC11D34E9}">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2343" id="{3AC12AF2-9980-4FD5-8217-75D48B276896}">
            <xm:f>'TC1'!#REF!="Dial"</xm:f>
            <x14:dxf>
              <font>
                <b/>
                <i val="0"/>
                <color rgb="FFFF0000"/>
              </font>
            </x14:dxf>
          </x14:cfRule>
          <x14:cfRule type="expression" priority="2344" id="{8B0B6508-B587-4A06-927C-E726E3E1D2AC}">
            <xm:f>'TC1'!#REF!="HANGUP"</xm:f>
            <x14:dxf>
              <font>
                <b/>
                <i val="0"/>
              </font>
            </x14:dxf>
          </x14:cfRule>
          <xm:sqref>C13 C17 C19:C22 C15</xm:sqref>
        </x14:conditionalFormatting>
        <x14:conditionalFormatting xmlns:xm="http://schemas.microsoft.com/office/excel/2006/main">
          <x14:cfRule type="expression" priority="2349" id="{18972901-F48F-47FF-AFE8-46CC36EE5200}">
            <xm:f>'TC1'!#REF!="Speak"</xm:f>
            <x14:dxf>
              <font>
                <b/>
                <i val="0"/>
                <color rgb="FFFF0000"/>
              </font>
            </x14:dxf>
          </x14:cfRule>
          <xm:sqref>C13 C17 C19:C22 C15</xm:sqref>
        </x14:conditionalFormatting>
        <x14:conditionalFormatting xmlns:xm="http://schemas.microsoft.com/office/excel/2006/main">
          <x14:cfRule type="containsText" priority="2355" operator="containsText" text="DB" id="{EB170E94-1CA5-44C3-AE1B-67AAFFE18889}">
            <xm:f>NOT(ISERROR(SEARCH("DB",'TC1'!#REF!)))</xm:f>
            <x14:dxf>
              <font>
                <color rgb="FF006100"/>
              </font>
              <fill>
                <patternFill>
                  <bgColor rgb="FFC6EFCE"/>
                </patternFill>
              </fill>
            </x14:dxf>
          </x14:cfRule>
          <x14:cfRule type="containsText" priority="2356" operator="containsText" text="WEB SERVICE" id="{DB9770A4-DFBC-44D4-B485-CFDBC11D34E9}">
            <xm:f>NOT(ISERROR(SEARCH("WEB SERVICE",'TC1'!#REF!)))</xm:f>
            <x14:dxf>
              <font>
                <color rgb="FF9C0006"/>
              </font>
              <fill>
                <patternFill>
                  <bgColor rgb="FFFFC7CE"/>
                </patternFill>
              </fill>
            </x14:dxf>
          </x14:cfRule>
          <xm:sqref>E13:E22</xm:sqref>
        </x14:conditionalFormatting>
        <x14:conditionalFormatting xmlns:xm="http://schemas.microsoft.com/office/excel/2006/main">
          <x14:cfRule type="expression" priority="4197" id="{3AC12AF2-9980-4FD5-8217-75D48B276896}">
            <xm:f>'TC1'!$B10="Dial"</xm:f>
            <x14:dxf>
              <font>
                <b/>
                <i val="0"/>
                <color rgb="FFFF0000"/>
              </font>
            </x14:dxf>
          </x14:cfRule>
          <x14:cfRule type="expression" priority="4198" id="{8B0B6508-B587-4A06-927C-E726E3E1D2AC}">
            <xm:f>'TC1'!$B10="HANGUP"</xm:f>
            <x14:dxf>
              <font>
                <b/>
                <i val="0"/>
              </font>
            </x14:dxf>
          </x14:cfRule>
          <xm:sqref>C9:C11</xm:sqref>
        </x14:conditionalFormatting>
        <x14:conditionalFormatting xmlns:xm="http://schemas.microsoft.com/office/excel/2006/main">
          <x14:cfRule type="expression" priority="4200" id="{18972901-F48F-47FF-AFE8-46CC36EE5200}">
            <xm:f>'TC1'!$B10="Speak"</xm:f>
            <x14:dxf>
              <font>
                <b/>
                <i val="0"/>
                <color rgb="FFFF0000"/>
              </font>
            </x14:dxf>
          </x14:cfRule>
          <xm:sqref>C9:C11</xm:sqref>
        </x14:conditionalFormatting>
        <x14:conditionalFormatting xmlns:xm="http://schemas.microsoft.com/office/excel/2006/main">
          <x14:cfRule type="expression" priority="10" id="{13FD49FA-50DD-4386-9AF8-2D1F438ECCA0}">
            <xm:f>'TC1'!#REF!="HANGUP"</xm:f>
            <x14:dxf>
              <font>
                <b/>
                <i val="0"/>
              </font>
            </x14:dxf>
          </x14:cfRule>
          <x14:cfRule type="expression" priority="11" id="{3AD2A311-90C5-46A1-AA36-66DF68ACAF2D}">
            <xm:f>'TC1'!#REF!="Dial"</xm:f>
            <x14:dxf>
              <font>
                <b/>
                <i val="0"/>
                <color rgb="FFFF0000"/>
              </font>
            </x14:dxf>
          </x14:cfRule>
          <xm:sqref>C12</xm:sqref>
        </x14:conditionalFormatting>
        <x14:conditionalFormatting xmlns:xm="http://schemas.microsoft.com/office/excel/2006/main">
          <x14:cfRule type="expression" priority="12" id="{ECACB500-28E2-41C1-874C-8FF80E9A9EA6}">
            <xm:f>'TC1'!#REF!="Speak"</xm:f>
            <x14:dxf>
              <font>
                <b/>
                <i val="0"/>
                <color rgb="FFFF0000"/>
              </font>
            </x14:dxf>
          </x14:cfRule>
          <xm:sqref>C12</xm:sqref>
        </x14:conditionalFormatting>
        <x14:conditionalFormatting xmlns:xm="http://schemas.microsoft.com/office/excel/2006/main">
          <x14:cfRule type="expression" priority="7" id="{85E65281-16BA-4D93-B2BC-3AF768E412CF}">
            <xm:f>'TC1'!#REF!="HANGUP"</xm:f>
            <x14:dxf>
              <font>
                <b/>
                <i val="0"/>
              </font>
            </x14:dxf>
          </x14:cfRule>
          <x14:cfRule type="expression" priority="8" id="{8FA966AB-4500-455F-ACD0-72A7E3EFB7D0}">
            <xm:f>'TC1'!#REF!="Dial"</xm:f>
            <x14:dxf>
              <font>
                <b/>
                <i val="0"/>
                <color rgb="FFFF0000"/>
              </font>
            </x14:dxf>
          </x14:cfRule>
          <xm:sqref>C16</xm:sqref>
        </x14:conditionalFormatting>
        <x14:conditionalFormatting xmlns:xm="http://schemas.microsoft.com/office/excel/2006/main">
          <x14:cfRule type="expression" priority="9" id="{9942859F-D6DC-45E5-B61F-7BC9A2CAB80D}">
            <xm:f>'TC1'!#REF!="Speak"</xm:f>
            <x14:dxf>
              <font>
                <b/>
                <i val="0"/>
                <color rgb="FFFF0000"/>
              </font>
            </x14:dxf>
          </x14:cfRule>
          <xm:sqref>C16</xm:sqref>
        </x14:conditionalFormatting>
        <x14:conditionalFormatting xmlns:xm="http://schemas.microsoft.com/office/excel/2006/main">
          <x14:cfRule type="expression" priority="4" id="{08A104F0-167A-4BAC-A2F0-D319FF8E6368}">
            <xm:f>'TC1'!#REF!="HANGUP"</xm:f>
            <x14:dxf>
              <font>
                <b/>
                <i val="0"/>
              </font>
            </x14:dxf>
          </x14:cfRule>
          <x14:cfRule type="expression" priority="5" id="{A59354E9-C86E-48FE-A305-9C7ADCB8E88F}">
            <xm:f>'TC1'!#REF!="Dial"</xm:f>
            <x14:dxf>
              <font>
                <b/>
                <i val="0"/>
                <color rgb="FFFF0000"/>
              </font>
            </x14:dxf>
          </x14:cfRule>
          <xm:sqref>C18</xm:sqref>
        </x14:conditionalFormatting>
        <x14:conditionalFormatting xmlns:xm="http://schemas.microsoft.com/office/excel/2006/main">
          <x14:cfRule type="expression" priority="6" id="{6A83EEA8-AA41-481A-AA7A-C36F27C2D06F}">
            <xm:f>'TC1'!#REF!="Speak"</xm:f>
            <x14:dxf>
              <font>
                <b/>
                <i val="0"/>
                <color rgb="FFFF0000"/>
              </font>
            </x14:dxf>
          </x14:cfRule>
          <xm:sqref>C18</xm:sqref>
        </x14:conditionalFormatting>
        <x14:conditionalFormatting xmlns:xm="http://schemas.microsoft.com/office/excel/2006/main">
          <x14:cfRule type="expression" priority="1" id="{7F452D83-BF9C-45BB-832B-81756CD33338}">
            <xm:f>'TC1'!#REF!="HANGUP"</xm:f>
            <x14:dxf>
              <font>
                <b/>
                <i val="0"/>
              </font>
            </x14:dxf>
          </x14:cfRule>
          <x14:cfRule type="expression" priority="2" id="{F99E9AC7-30CC-4367-863F-A38DAB7B39BC}">
            <xm:f>'TC1'!#REF!="Dial"</xm:f>
            <x14:dxf>
              <font>
                <b/>
                <i val="0"/>
                <color rgb="FFFF0000"/>
              </font>
            </x14:dxf>
          </x14:cfRule>
          <xm:sqref>C14</xm:sqref>
        </x14:conditionalFormatting>
        <x14:conditionalFormatting xmlns:xm="http://schemas.microsoft.com/office/excel/2006/main">
          <x14:cfRule type="expression" priority="3" id="{31302CC8-6170-4F00-B704-516DA0F3FB22}">
            <xm:f>'TC1'!#REF!="Speak"</xm:f>
            <x14:dxf>
              <font>
                <b/>
                <i val="0"/>
                <color rgb="FFFF0000"/>
              </font>
            </x14:dxf>
          </x14:cfRule>
          <xm:sqref>C14</xm:sqref>
        </x14:conditionalFormatting>
      </x14:conditionalFormattings>
    </ext>
  </extLst>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codeName="Sheet106"/>
  <dimension ref="A1:E23"/>
  <sheetViews>
    <sheetView zoomScaleNormal="100" workbookViewId="0">
      <selection activeCell="C22" sqref="C22"/>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TC104</v>
      </c>
      <c r="C2" s="94"/>
      <c r="D2" s="107"/>
      <c r="E2" s="93"/>
    </row>
    <row r="3" spans="1:5">
      <c r="A3" s="100" t="s">
        <v>19</v>
      </c>
      <c r="B3" s="108">
        <f ca="1">VLOOKUP(B2,Table53[#All],2,FALSE)</f>
        <v>0</v>
      </c>
      <c r="C3" s="94"/>
      <c r="D3" s="107"/>
      <c r="E3" s="93"/>
    </row>
    <row r="4" spans="1:5" ht="45">
      <c r="A4" s="109" t="s">
        <v>20</v>
      </c>
      <c r="B4" s="95" t="str">
        <f ca="1">VLOOKUP(B2,Table53[#All],4,FALSE)</f>
        <v>svcArea=titleSvcs, serviceType=chgOwnership, Not in progress or complete &lt;90days. 325-W-DF-T</v>
      </c>
      <c r="C4" s="94" t="s">
        <v>268</v>
      </c>
      <c r="D4" s="107"/>
      <c r="E4" s="93"/>
    </row>
    <row r="5" spans="1:5" ht="45">
      <c r="A5" s="100" t="s">
        <v>6</v>
      </c>
      <c r="B5" s="75" t="str">
        <f ca="1">VLOOKUP(B2,Table53[#All],3,FALSE)</f>
        <v xml:space="preserve">CallStart Main Menu /Title /Ownership changes/ID Auth=True/ownership trust at ChangeMenu/HU after hearing peg 0330 </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VLOOKUP(Table257519913135[[#This Row],[PEG]],Table1016[#All],2,FALSE)</f>
        <v>CallID.wav Call ID &lt;CallID&gt;</v>
      </c>
      <c r="D9" s="152" t="s">
        <v>477</v>
      </c>
      <c r="E9" s="122" t="str">
        <f>VLOOKUP(Table257519913135[[#This Row],[PEG]],Table1016[#All],3,FALSE)</f>
        <v>TEST</v>
      </c>
    </row>
    <row r="10" spans="1:5" ht="30">
      <c r="A10" s="114">
        <v>3</v>
      </c>
      <c r="B10" s="110" t="s">
        <v>115</v>
      </c>
      <c r="C10" s="105" t="str">
        <f>VLOOKUP(Table257519913135[[#This Row],[PEG]],Table1016[#All],2,FALSE)</f>
        <v>0100.wav Thank you for calling Shell vacations Club, we are glad you called. Please have your account number available for faster service. [To continue in Spanish, press 9]</v>
      </c>
      <c r="D10" s="152">
        <v>100</v>
      </c>
      <c r="E10" s="122" t="str">
        <f>VLOOKUP(Table257519913135[[#This Row],[PEG]],Table1016[#All],3,FALSE)</f>
        <v>PLAY PROMPT</v>
      </c>
    </row>
    <row r="11" spans="1:5" ht="30">
      <c r="A11" s="114">
        <v>4</v>
      </c>
      <c r="B11" s="110" t="s">
        <v>115</v>
      </c>
      <c r="C11" s="105" t="str">
        <f>VLOOKUP(Table257519913135[[#This Row],[PEG]],Table1016[#All],2,FALSE)</f>
        <v>0110-1.wav Which would you like? You can say... reservations, payments &amp; statements, title &amp; ownership changes, or more options.</v>
      </c>
      <c r="D11" s="152">
        <v>110</v>
      </c>
      <c r="E11" s="122" t="str">
        <f>VLOOKUP(Table257519913135[[#This Row],[PEG]],Table1016[#All],3,FALSE)</f>
        <v>MENU PROMPT</v>
      </c>
    </row>
    <row r="12" spans="1:5">
      <c r="A12" s="114">
        <v>5</v>
      </c>
      <c r="B12" s="110" t="s">
        <v>124</v>
      </c>
      <c r="C12" s="151" t="s">
        <v>486</v>
      </c>
      <c r="D12" s="152"/>
      <c r="E12" s="122" t="e">
        <f>VLOOKUP(Table257519913135[[#This Row],[PEG]],Table1016[#All],3,FALSE)</f>
        <v>#N/A</v>
      </c>
    </row>
    <row r="13" spans="1:5" ht="30">
      <c r="A13" s="114">
        <v>6</v>
      </c>
      <c r="B13" s="110" t="s">
        <v>115</v>
      </c>
      <c r="C13" s="105" t="str">
        <f>VLOOKUP(Table257519913135[[#This Row],[PEG]],Table1016[#All],2,FALSE)</f>
        <v>0300-1.wav You can say ownership changes, check status, make a payment, or help me with something else. Which would you like?</v>
      </c>
      <c r="D13" s="152">
        <v>300</v>
      </c>
      <c r="E13" s="122" t="str">
        <f>VLOOKUP(Table257519913135[[#This Row],[PEG]],Table1016[#All],3,FALSE)</f>
        <v>MENU PROMPT</v>
      </c>
    </row>
    <row r="14" spans="1:5">
      <c r="A14" s="114">
        <v>7</v>
      </c>
      <c r="B14" s="110" t="s">
        <v>124</v>
      </c>
      <c r="C14" s="105" t="e">
        <f>VLOOKUP(Table257519913135[[#This Row],[PEG]],Table1016[#All],2,FALSE)</f>
        <v>#N/A</v>
      </c>
      <c r="D14" s="125"/>
      <c r="E14" s="122" t="e">
        <f>VLOOKUP(Table257519913135[[#This Row],[PEG]],Table1016[#All],3,FALSE)</f>
        <v>#N/A</v>
      </c>
    </row>
    <row r="15" spans="1:5">
      <c r="A15" s="114">
        <v>8</v>
      </c>
      <c r="B15" s="110" t="s">
        <v>115</v>
      </c>
      <c r="C15" s="105" t="str">
        <f>VLOOKUP(Table257519913135[[#This Row],[PEG]],Table1016[#All],2,FALSE)</f>
        <v>0200-1.wav To get started, what is your account number?</v>
      </c>
      <c r="D15" s="153">
        <v>200</v>
      </c>
      <c r="E15" s="122" t="str">
        <f>VLOOKUP(Table257519913135[[#This Row],[PEG]],Table1016[#All],3,FALSE)</f>
        <v>MENU PROMPT</v>
      </c>
    </row>
    <row r="16" spans="1:5">
      <c r="A16" s="114">
        <v>9</v>
      </c>
      <c r="B16" s="110" t="s">
        <v>114</v>
      </c>
      <c r="C16" s="151" t="s">
        <v>515</v>
      </c>
      <c r="D16" s="112"/>
      <c r="E16" s="122" t="e">
        <f>VLOOKUP(Table257519913135[[#This Row],[PEG]],Table1016[#All],3,FALSE)</f>
        <v>#N/A</v>
      </c>
    </row>
    <row r="17" spans="1:5">
      <c r="A17" s="114">
        <v>10</v>
      </c>
      <c r="B17" s="110" t="s">
        <v>115</v>
      </c>
      <c r="C17" s="105" t="str">
        <f>VLOOKUP(Table257519913135[[#This Row],[PEG]],Table1016[#All],2,FALSE)</f>
        <v>0210-1.wav And the date of birth for the primary owner?</v>
      </c>
      <c r="D17" s="154">
        <v>210</v>
      </c>
      <c r="E17" s="122" t="str">
        <f>VLOOKUP(Table257519913135[[#This Row],[PEG]],Table1016[#All],3,FALSE)</f>
        <v>MENU PROMPT</v>
      </c>
    </row>
    <row r="18" spans="1:5">
      <c r="A18" s="114">
        <v>11</v>
      </c>
      <c r="B18" s="110" t="s">
        <v>124</v>
      </c>
      <c r="C18" s="151" t="s">
        <v>524</v>
      </c>
      <c r="D18" s="113"/>
      <c r="E18" s="122" t="e">
        <f>VLOOKUP(Table257519913135[[#This Row],[PEG]],Table1016[#All],3,FALSE)</f>
        <v>#N/A</v>
      </c>
    </row>
    <row r="19" spans="1:5" ht="45">
      <c r="A19" s="114">
        <v>12</v>
      </c>
      <c r="B19" s="110" t="s">
        <v>115</v>
      </c>
      <c r="C19" s="105" t="str">
        <f>VLOOKUP(Table257519913135[[#This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54">
        <v>320</v>
      </c>
      <c r="E19" s="122" t="str">
        <f>VLOOKUP(Table257519913135[[#This Row],[PEG]],Table1016[#All],3,FALSE)</f>
        <v>MENU PROMPT</v>
      </c>
    </row>
    <row r="20" spans="1:5">
      <c r="A20" s="114">
        <v>13</v>
      </c>
      <c r="B20" s="110" t="s">
        <v>124</v>
      </c>
      <c r="C20" s="151" t="s">
        <v>559</v>
      </c>
      <c r="D20" s="113"/>
      <c r="E20" s="122" t="e">
        <f>VLOOKUP(Table257519913135[[#This Row],[PEG]],Table1016[#All],3,FALSE)</f>
        <v>#N/A</v>
      </c>
    </row>
    <row r="21" spans="1:5" ht="90">
      <c r="A21" s="114">
        <v>14</v>
      </c>
      <c r="B21" s="110" t="s">
        <v>115</v>
      </c>
      <c r="C21" s="105" t="str">
        <f>VLOOKUP(Table257519913135[[#This Row],[PEG]],Table1016[#All],2,FALSE)</f>
        <v>Wyndham requires a new recorded deed from the county where you own the property. We recommend that you use a licensed professional to execute the document. In addition to the new recorded deed, please send with the new Trustee’s or company representative, first and last name, address, phone number, email address, date of birth, copy of government issued ID and a copy of your trust documents or corporate documents and current certificate of good standing. Please send the information to 6277 Sea Harbor Drive, Orlando Florida 32821, attention, Worldmark Ownership Change or via email to worldmarkownershipchange@wyn.com.</v>
      </c>
      <c r="D21" s="94" t="s">
        <v>268</v>
      </c>
      <c r="E21" s="122" t="str">
        <f>VLOOKUP(Table257519913135[[#This Row],[PEG]],Table1016[#All],3,FALSE)</f>
        <v>PLAY PROMPT</v>
      </c>
    </row>
    <row r="22" spans="1:5" ht="30">
      <c r="A22" s="114">
        <v>15</v>
      </c>
      <c r="B22" s="110" t="s">
        <v>115</v>
      </c>
      <c r="C22" s="105" t="str">
        <f>VLOOKUP(Table257519913135[[#This Row],[PEG]],Table1016[#All],2,FALSE)</f>
        <v>0330-1.wav To hear this information again, say repeat that. If you would like me to send you a letter with instructions to start the process, say information letter.</v>
      </c>
      <c r="D22" s="154">
        <v>330</v>
      </c>
      <c r="E22" s="122" t="str">
        <f>VLOOKUP(Table257519913135[[#This Row],[PEG]],Table1016[#All],3,FALSE)</f>
        <v>MENU PROMPT</v>
      </c>
    </row>
    <row r="23" spans="1:5">
      <c r="A23" s="114">
        <v>16</v>
      </c>
      <c r="B23" s="110" t="s">
        <v>13</v>
      </c>
      <c r="C23" s="17" t="s">
        <v>13</v>
      </c>
      <c r="D23" s="111"/>
      <c r="E23" s="31"/>
    </row>
  </sheetData>
  <mergeCells count="1">
    <mergeCell ref="A1:B1"/>
  </mergeCells>
  <conditionalFormatting sqref="B8 B23">
    <cfRule type="containsText" dxfId="2967" priority="13" operator="containsText" text="Hear">
      <formula>NOT(ISERROR(SEARCH("Hear",B8)))</formula>
    </cfRule>
  </conditionalFormatting>
  <conditionalFormatting sqref="E23">
    <cfRule type="containsText" dxfId="2966" priority="24" operator="containsText" text="WEB SERVICE">
      <formula>NOT(ISERROR(SEARCH("WEB SERVICE",E23)))</formula>
    </cfRule>
    <cfRule type="containsText" dxfId="2965" priority="25" operator="containsText" text="DB">
      <formula>NOT(ISERROR(SEARCH("DB",E23)))</formula>
    </cfRule>
  </conditionalFormatting>
  <conditionalFormatting sqref="C23">
    <cfRule type="expression" dxfId="2964" priority="27">
      <formula>$B23="Dial"</formula>
    </cfRule>
    <cfRule type="expression" dxfId="2963" priority="29">
      <formula>$B23="HANGUP"</formula>
    </cfRule>
  </conditionalFormatting>
  <conditionalFormatting sqref="C23">
    <cfRule type="expression" dxfId="2962" priority="28">
      <formula>$B23="Speak"</formula>
    </cfRule>
  </conditionalFormatting>
  <conditionalFormatting sqref="B20:B22">
    <cfRule type="containsText" dxfId="2961" priority="12" operator="containsText" text="Hear">
      <formula>NOT(ISERROR(SEARCH("Hear",B20)))</formula>
    </cfRule>
  </conditionalFormatting>
  <conditionalFormatting sqref="B18:B19">
    <cfRule type="containsText" dxfId="2960" priority="11" operator="containsText" text="Hear">
      <formula>NOT(ISERROR(SEARCH("Hear",B18)))</formula>
    </cfRule>
  </conditionalFormatting>
  <conditionalFormatting sqref="B9:B17">
    <cfRule type="containsText" dxfId="2959" priority="10" operator="containsText" text="Hear">
      <formula>NOT(ISERROR(SEARCH("Hear",B9)))</formula>
    </cfRule>
  </conditionalFormatting>
  <hyperlinks>
    <hyperlink ref="A1" location="'Test Case Overview'!A1" display="Return to Test Case Overview" xr:uid="{00000000-0004-0000-68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4" id="{44CD45A7-09B4-48DE-9C84-BD55DCBCD396}">
            <xm:f>'TC1'!$B8="Dial"</xm:f>
            <x14:dxf>
              <font>
                <b/>
                <i val="0"/>
                <color rgb="FFFF0000"/>
              </font>
            </x14:dxf>
          </x14:cfRule>
          <x14:cfRule type="expression" priority="30" id="{61A1C384-97DA-4AE3-888F-CCF654DF69BD}">
            <xm:f>'TC1'!$B8="HANGUP"</xm:f>
            <x14:dxf>
              <font>
                <b/>
                <i val="0"/>
              </font>
            </x14:dxf>
          </x14:cfRule>
          <xm:sqref>C8</xm:sqref>
        </x14:conditionalFormatting>
        <x14:conditionalFormatting xmlns:xm="http://schemas.microsoft.com/office/excel/2006/main">
          <x14:cfRule type="expression" priority="31" id="{1402B844-EC3E-4493-B80D-DDCFF00D7119}">
            <xm:f>'TC1'!$B8="Speak"</xm:f>
            <x14:dxf>
              <font>
                <b/>
                <i val="0"/>
                <color rgb="FFFF0000"/>
              </font>
            </x14:dxf>
          </x14:cfRule>
          <xm:sqref>C8</xm:sqref>
        </x14:conditionalFormatting>
        <x14:conditionalFormatting xmlns:xm="http://schemas.microsoft.com/office/excel/2006/main">
          <x14:cfRule type="containsText" priority="32" operator="containsText" text="DB" id="{B58BE232-4222-4595-8EAD-F07A172BFC6B}">
            <xm:f>NOT(ISERROR(SEARCH("DB",'TC1'!E10)))</xm:f>
            <x14:dxf>
              <font>
                <color rgb="FF006100"/>
              </font>
              <fill>
                <patternFill>
                  <bgColor rgb="FFC6EFCE"/>
                </patternFill>
              </fill>
            </x14:dxf>
          </x14:cfRule>
          <x14:cfRule type="containsText" priority="32" operator="containsText" text="WEB SERVICE" id="{5A816E90-7753-42F0-A504-D69BA6919A16}">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2360" id="{44CD45A7-09B4-48DE-9C84-BD55DCBCD396}">
            <xm:f>'TC1'!#REF!="Dial"</xm:f>
            <x14:dxf>
              <font>
                <b/>
                <i val="0"/>
                <color rgb="FFFF0000"/>
              </font>
            </x14:dxf>
          </x14:cfRule>
          <x14:cfRule type="expression" priority="2361" id="{61A1C384-97DA-4AE3-888F-CCF654DF69BD}">
            <xm:f>'TC1'!#REF!="HANGUP"</xm:f>
            <x14:dxf>
              <font>
                <b/>
                <i val="0"/>
              </font>
            </x14:dxf>
          </x14:cfRule>
          <xm:sqref>C13:C15 C17 C19:C22</xm:sqref>
        </x14:conditionalFormatting>
        <x14:conditionalFormatting xmlns:xm="http://schemas.microsoft.com/office/excel/2006/main">
          <x14:cfRule type="expression" priority="2366" id="{1402B844-EC3E-4493-B80D-DDCFF00D7119}">
            <xm:f>'TC1'!#REF!="Speak"</xm:f>
            <x14:dxf>
              <font>
                <b/>
                <i val="0"/>
                <color rgb="FFFF0000"/>
              </font>
            </x14:dxf>
          </x14:cfRule>
          <xm:sqref>C13:C15 C17 C19:C22</xm:sqref>
        </x14:conditionalFormatting>
        <x14:conditionalFormatting xmlns:xm="http://schemas.microsoft.com/office/excel/2006/main">
          <x14:cfRule type="containsText" priority="2372" operator="containsText" text="DB" id="{B58BE232-4222-4595-8EAD-F07A172BFC6B}">
            <xm:f>NOT(ISERROR(SEARCH("DB",'TC1'!#REF!)))</xm:f>
            <x14:dxf>
              <font>
                <color rgb="FF006100"/>
              </font>
              <fill>
                <patternFill>
                  <bgColor rgb="FFC6EFCE"/>
                </patternFill>
              </fill>
            </x14:dxf>
          </x14:cfRule>
          <x14:cfRule type="containsText" priority="2373" operator="containsText" text="WEB SERVICE" id="{5A816E90-7753-42F0-A504-D69BA6919A16}">
            <xm:f>NOT(ISERROR(SEARCH("WEB SERVICE",'TC1'!#REF!)))</xm:f>
            <x14:dxf>
              <font>
                <color rgb="FF9C0006"/>
              </font>
              <fill>
                <patternFill>
                  <bgColor rgb="FFFFC7CE"/>
                </patternFill>
              </fill>
            </x14:dxf>
          </x14:cfRule>
          <xm:sqref>E13:E22</xm:sqref>
        </x14:conditionalFormatting>
        <x14:conditionalFormatting xmlns:xm="http://schemas.microsoft.com/office/excel/2006/main">
          <x14:cfRule type="expression" priority="4202" id="{44CD45A7-09B4-48DE-9C84-BD55DCBCD396}">
            <xm:f>'TC1'!$B10="Dial"</xm:f>
            <x14:dxf>
              <font>
                <b/>
                <i val="0"/>
                <color rgb="FFFF0000"/>
              </font>
            </x14:dxf>
          </x14:cfRule>
          <x14:cfRule type="expression" priority="4203" id="{61A1C384-97DA-4AE3-888F-CCF654DF69BD}">
            <xm:f>'TC1'!$B10="HANGUP"</xm:f>
            <x14:dxf>
              <font>
                <b/>
                <i val="0"/>
              </font>
            </x14:dxf>
          </x14:cfRule>
          <xm:sqref>C9:C11</xm:sqref>
        </x14:conditionalFormatting>
        <x14:conditionalFormatting xmlns:xm="http://schemas.microsoft.com/office/excel/2006/main">
          <x14:cfRule type="expression" priority="4205" id="{1402B844-EC3E-4493-B80D-DDCFF00D7119}">
            <xm:f>'TC1'!$B10="Speak"</xm:f>
            <x14:dxf>
              <font>
                <b/>
                <i val="0"/>
                <color rgb="FFFF0000"/>
              </font>
            </x14:dxf>
          </x14:cfRule>
          <xm:sqref>C9:C11</xm:sqref>
        </x14:conditionalFormatting>
        <x14:conditionalFormatting xmlns:xm="http://schemas.microsoft.com/office/excel/2006/main">
          <x14:cfRule type="expression" priority="7" id="{824E4B0B-8EB9-4D9D-ACF7-ABC3CC09F6C7}">
            <xm:f>'TC1'!#REF!="HANGUP"</xm:f>
            <x14:dxf>
              <font>
                <b/>
                <i val="0"/>
              </font>
            </x14:dxf>
          </x14:cfRule>
          <x14:cfRule type="expression" priority="8" id="{755BA8CC-F65D-488B-A4B2-131B80CBA76C}">
            <xm:f>'TC1'!#REF!="Dial"</xm:f>
            <x14:dxf>
              <font>
                <b/>
                <i val="0"/>
                <color rgb="FFFF0000"/>
              </font>
            </x14:dxf>
          </x14:cfRule>
          <xm:sqref>C12</xm:sqref>
        </x14:conditionalFormatting>
        <x14:conditionalFormatting xmlns:xm="http://schemas.microsoft.com/office/excel/2006/main">
          <x14:cfRule type="expression" priority="9" id="{CD86D3F4-65D4-4365-92A1-318871CC1604}">
            <xm:f>'TC1'!#REF!="Speak"</xm:f>
            <x14:dxf>
              <font>
                <b/>
                <i val="0"/>
                <color rgb="FFFF0000"/>
              </font>
            </x14:dxf>
          </x14:cfRule>
          <xm:sqref>C12</xm:sqref>
        </x14:conditionalFormatting>
        <x14:conditionalFormatting xmlns:xm="http://schemas.microsoft.com/office/excel/2006/main">
          <x14:cfRule type="expression" priority="4" id="{338EEC00-3A8A-4FA6-AD3A-158E6AAE9E6A}">
            <xm:f>'TC1'!#REF!="HANGUP"</xm:f>
            <x14:dxf>
              <font>
                <b/>
                <i val="0"/>
              </font>
            </x14:dxf>
          </x14:cfRule>
          <x14:cfRule type="expression" priority="5" id="{72D499A5-FC39-4EF3-8081-CBF4E3BFA719}">
            <xm:f>'TC1'!#REF!="Dial"</xm:f>
            <x14:dxf>
              <font>
                <b/>
                <i val="0"/>
                <color rgb="FFFF0000"/>
              </font>
            </x14:dxf>
          </x14:cfRule>
          <xm:sqref>C16</xm:sqref>
        </x14:conditionalFormatting>
        <x14:conditionalFormatting xmlns:xm="http://schemas.microsoft.com/office/excel/2006/main">
          <x14:cfRule type="expression" priority="6" id="{8F645818-B887-4FDA-9397-5F1761C23347}">
            <xm:f>'TC1'!#REF!="Speak"</xm:f>
            <x14:dxf>
              <font>
                <b/>
                <i val="0"/>
                <color rgb="FFFF0000"/>
              </font>
            </x14:dxf>
          </x14:cfRule>
          <xm:sqref>C16</xm:sqref>
        </x14:conditionalFormatting>
        <x14:conditionalFormatting xmlns:xm="http://schemas.microsoft.com/office/excel/2006/main">
          <x14:cfRule type="expression" priority="1" id="{358E7F83-5EC1-4420-92F6-AE67E8C405D1}">
            <xm:f>'TC1'!#REF!="HANGUP"</xm:f>
            <x14:dxf>
              <font>
                <b/>
                <i val="0"/>
              </font>
            </x14:dxf>
          </x14:cfRule>
          <x14:cfRule type="expression" priority="2" id="{551973AF-220F-4752-8D8F-ECF058FF847A}">
            <xm:f>'TC1'!#REF!="Dial"</xm:f>
            <x14:dxf>
              <font>
                <b/>
                <i val="0"/>
                <color rgb="FFFF0000"/>
              </font>
            </x14:dxf>
          </x14:cfRule>
          <xm:sqref>C18</xm:sqref>
        </x14:conditionalFormatting>
        <x14:conditionalFormatting xmlns:xm="http://schemas.microsoft.com/office/excel/2006/main">
          <x14:cfRule type="expression" priority="3" id="{F98235A8-5CF3-4F32-B6BE-744546F056B6}">
            <xm:f>'TC1'!#REF!="Speak"</xm:f>
            <x14:dxf>
              <font>
                <b/>
                <i val="0"/>
                <color rgb="FFFF0000"/>
              </font>
            </x14:dxf>
          </x14:cfRule>
          <xm:sqref>C18</xm:sqref>
        </x14:conditionalFormatting>
      </x14:conditionalFormattings>
    </ext>
  </extLst>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codeName="Sheet107"/>
  <dimension ref="A1:E23"/>
  <sheetViews>
    <sheetView zoomScaleNormal="100" workbookViewId="0">
      <selection activeCell="C25" sqref="C25"/>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TC105</v>
      </c>
      <c r="C2" s="94"/>
      <c r="D2" s="107"/>
      <c r="E2" s="93"/>
    </row>
    <row r="3" spans="1:5">
      <c r="A3" s="100" t="s">
        <v>19</v>
      </c>
      <c r="B3" s="108">
        <f ca="1">VLOOKUP(B2,Table53[#All],2,FALSE)</f>
        <v>0</v>
      </c>
      <c r="C3" s="94"/>
      <c r="D3" s="107"/>
      <c r="E3" s="93"/>
    </row>
    <row r="4" spans="1:5" ht="45">
      <c r="A4" s="109" t="s">
        <v>20</v>
      </c>
      <c r="B4" s="95" t="str">
        <f ca="1">VLOOKUP(B2,Table53[#All],4,FALSE)</f>
        <v>svcArea=titleSvcs, serviceType=chgOwnership, Not in progress or complete &lt;90days. 325-W-ND-X</v>
      </c>
      <c r="C4" s="94" t="s">
        <v>269</v>
      </c>
      <c r="D4" s="107"/>
      <c r="E4" s="93"/>
    </row>
    <row r="5" spans="1:5" ht="45">
      <c r="A5" s="100" t="s">
        <v>6</v>
      </c>
      <c r="B5" s="75" t="str">
        <f ca="1">VLOOKUP(B2,Table53[#All],3,FALSE)</f>
        <v xml:space="preserve">CallStart Main Menu /Title /Ownership changes/ID Auth=True/ transfer owner at ChangeMenu/HU after hearing peg 0330 </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VLOOKUP(Table257519913137[[#This Row],[PEG]],Table1016[#All],2,FALSE)</f>
        <v>CallID.wav Call ID &lt;CallID&gt;</v>
      </c>
      <c r="D9" s="152" t="s">
        <v>477</v>
      </c>
      <c r="E9" s="122" t="str">
        <f>VLOOKUP(Table257519913137[[#This Row],[PEG]],Table1016[#All],3,FALSE)</f>
        <v>TEST</v>
      </c>
    </row>
    <row r="10" spans="1:5" ht="30">
      <c r="A10" s="114">
        <v>3</v>
      </c>
      <c r="B10" s="110" t="s">
        <v>115</v>
      </c>
      <c r="C10" s="105" t="str">
        <f>VLOOKUP(Table257519913137[[#This Row],[PEG]],Table1016[#All],2,FALSE)</f>
        <v>0100.wav Thank you for calling Shell vacations Club, we are glad you called. Please have your account number available for faster service. [To continue in Spanish, press 9]</v>
      </c>
      <c r="D10" s="152">
        <v>100</v>
      </c>
      <c r="E10" s="122" t="str">
        <f>VLOOKUP(Table257519913137[[#This Row],[PEG]],Table1016[#All],3,FALSE)</f>
        <v>PLAY PROMPT</v>
      </c>
    </row>
    <row r="11" spans="1:5" ht="30">
      <c r="A11" s="114">
        <v>4</v>
      </c>
      <c r="B11" s="110" t="s">
        <v>115</v>
      </c>
      <c r="C11" s="105" t="str">
        <f>VLOOKUP(Table257519913137[[#This Row],[PEG]],Table1016[#All],2,FALSE)</f>
        <v>0110-1.wav Which would you like? You can say... reservations, payments &amp; statements, title &amp; ownership changes, or more options.</v>
      </c>
      <c r="D11" s="152">
        <v>110</v>
      </c>
      <c r="E11" s="122" t="str">
        <f>VLOOKUP(Table257519913137[[#This Row],[PEG]],Table1016[#All],3,FALSE)</f>
        <v>MENU PROMPT</v>
      </c>
    </row>
    <row r="12" spans="1:5">
      <c r="A12" s="114">
        <v>5</v>
      </c>
      <c r="B12" s="110" t="s">
        <v>124</v>
      </c>
      <c r="C12" s="151" t="s">
        <v>486</v>
      </c>
      <c r="D12" s="152"/>
      <c r="E12" s="122" t="e">
        <f>VLOOKUP(Table257519913137[[#This Row],[PEG]],Table1016[#All],3,FALSE)</f>
        <v>#N/A</v>
      </c>
    </row>
    <row r="13" spans="1:5" ht="30">
      <c r="A13" s="114">
        <v>6</v>
      </c>
      <c r="B13" s="110" t="s">
        <v>115</v>
      </c>
      <c r="C13" s="105" t="str">
        <f>VLOOKUP(Table257519913137[[#This Row],[PEG]],Table1016[#All],2,FALSE)</f>
        <v>0300-1.wav You can say ownership changes, check status, make a payment, or help me with something else. Which would you like?</v>
      </c>
      <c r="D13" s="152">
        <v>300</v>
      </c>
      <c r="E13" s="122" t="str">
        <f>VLOOKUP(Table257519913137[[#This Row],[PEG]],Table1016[#All],3,FALSE)</f>
        <v>MENU PROMPT</v>
      </c>
    </row>
    <row r="14" spans="1:5">
      <c r="A14" s="114">
        <v>7</v>
      </c>
      <c r="B14" s="110" t="s">
        <v>124</v>
      </c>
      <c r="C14" s="151" t="s">
        <v>527</v>
      </c>
      <c r="D14" s="125"/>
      <c r="E14" s="122" t="e">
        <f>VLOOKUP(Table257519913137[[#This Row],[PEG]],Table1016[#All],3,FALSE)</f>
        <v>#N/A</v>
      </c>
    </row>
    <row r="15" spans="1:5">
      <c r="A15" s="114">
        <v>8</v>
      </c>
      <c r="B15" s="110" t="s">
        <v>115</v>
      </c>
      <c r="C15" s="105" t="str">
        <f>VLOOKUP(Table257519913137[[#This Row],[PEG]],Table1016[#All],2,FALSE)</f>
        <v>0200-1.wav To get started, what is your account number?</v>
      </c>
      <c r="D15" s="153">
        <v>200</v>
      </c>
      <c r="E15" s="122" t="str">
        <f>VLOOKUP(Table257519913137[[#This Row],[PEG]],Table1016[#All],3,FALSE)</f>
        <v>MENU PROMPT</v>
      </c>
    </row>
    <row r="16" spans="1:5">
      <c r="A16" s="114">
        <v>9</v>
      </c>
      <c r="B16" s="110" t="s">
        <v>114</v>
      </c>
      <c r="C16" s="151" t="s">
        <v>515</v>
      </c>
      <c r="D16" s="112"/>
      <c r="E16" s="122" t="e">
        <f>VLOOKUP(Table257519913137[[#This Row],[PEG]],Table1016[#All],3,FALSE)</f>
        <v>#N/A</v>
      </c>
    </row>
    <row r="17" spans="1:5">
      <c r="A17" s="114">
        <v>10</v>
      </c>
      <c r="B17" s="110" t="s">
        <v>115</v>
      </c>
      <c r="C17" s="105" t="str">
        <f>VLOOKUP(Table257519913137[[#This Row],[PEG]],Table1016[#All],2,FALSE)</f>
        <v>0210-1.wav And the date of birth for the primary owner?</v>
      </c>
      <c r="D17" s="154">
        <v>210</v>
      </c>
      <c r="E17" s="122" t="str">
        <f>VLOOKUP(Table257519913137[[#This Row],[PEG]],Table1016[#All],3,FALSE)</f>
        <v>MENU PROMPT</v>
      </c>
    </row>
    <row r="18" spans="1:5">
      <c r="A18" s="114">
        <v>11</v>
      </c>
      <c r="B18" s="110" t="s">
        <v>124</v>
      </c>
      <c r="C18" s="151" t="s">
        <v>524</v>
      </c>
      <c r="D18" s="113"/>
      <c r="E18" s="122" t="e">
        <f>VLOOKUP(Table257519913137[[#This Row],[PEG]],Table1016[#All],3,FALSE)</f>
        <v>#N/A</v>
      </c>
    </row>
    <row r="19" spans="1:5" ht="45">
      <c r="A19" s="114">
        <v>12</v>
      </c>
      <c r="B19" s="110" t="s">
        <v>115</v>
      </c>
      <c r="C19" s="105" t="str">
        <f>VLOOKUP(Table257519913137[[#This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54">
        <v>320</v>
      </c>
      <c r="E19" s="122" t="str">
        <f>VLOOKUP(Table257519913137[[#This Row],[PEG]],Table1016[#All],3,FALSE)</f>
        <v>MENU PROMPT</v>
      </c>
    </row>
    <row r="20" spans="1:5">
      <c r="A20" s="114">
        <v>13</v>
      </c>
      <c r="B20" s="110" t="s">
        <v>124</v>
      </c>
      <c r="C20" s="151" t="s">
        <v>562</v>
      </c>
      <c r="D20" s="113"/>
      <c r="E20" s="122" t="e">
        <f>VLOOKUP(Table257519913137[[#This Row],[PEG]],Table1016[#All],3,FALSE)</f>
        <v>#N/A</v>
      </c>
    </row>
    <row r="21" spans="1:5" ht="90">
      <c r="A21" s="114">
        <v>14</v>
      </c>
      <c r="B21" s="110" t="s">
        <v>115</v>
      </c>
      <c r="C21" s="105" t="str">
        <f>VLOOKUP(Table257519913137[[#This Row],[PEG]],Table1016[#All],2,FALSE)</f>
        <v>Wyndham requires a $299 processing fee to update ownership. There is a maximum of two owners per account. In addition to the payment, a written request with each of the new owner's, first and last name, address, phone number, email address, date of birth, and copy of government issued ID must be submitted. Please send the information to 6277 Sea Harbor Drive, Orlando Florida 32821, attention, Worldmark Ownership Change. Once the information and fee is received, Wyndham will send transfer or add paperwork to be signed in front of a notary and returned.</v>
      </c>
      <c r="D21" s="94" t="s">
        <v>269</v>
      </c>
      <c r="E21" s="122" t="str">
        <f>VLOOKUP(Table257519913137[[#This Row],[PEG]],Table1016[#All],3,FALSE)</f>
        <v>PLAY PROMPT</v>
      </c>
    </row>
    <row r="22" spans="1:5" ht="30">
      <c r="A22" s="114">
        <v>15</v>
      </c>
      <c r="B22" s="110" t="s">
        <v>115</v>
      </c>
      <c r="C22" s="105" t="str">
        <f>VLOOKUP(Table257519913137[[#This Row],[PEG]],Table1016[#All],2,FALSE)</f>
        <v>0330-1.wav To hear this information again, say repeat that. If you would like me to send you a letter with instructions to start the process, say information letter.</v>
      </c>
      <c r="D22" s="154">
        <v>330</v>
      </c>
      <c r="E22" s="122" t="str">
        <f>VLOOKUP(Table257519913137[[#This Row],[PEG]],Table1016[#All],3,FALSE)</f>
        <v>MENU PROMPT</v>
      </c>
    </row>
    <row r="23" spans="1:5">
      <c r="A23" s="114">
        <v>16</v>
      </c>
      <c r="B23" s="110" t="s">
        <v>13</v>
      </c>
      <c r="C23" s="17" t="s">
        <v>13</v>
      </c>
      <c r="D23" s="111"/>
      <c r="E23" s="31"/>
    </row>
  </sheetData>
  <mergeCells count="1">
    <mergeCell ref="A1:B1"/>
  </mergeCells>
  <conditionalFormatting sqref="B8 B23">
    <cfRule type="containsText" dxfId="2927" priority="16" operator="containsText" text="Hear">
      <formula>NOT(ISERROR(SEARCH("Hear",B8)))</formula>
    </cfRule>
  </conditionalFormatting>
  <conditionalFormatting sqref="E23">
    <cfRule type="containsText" dxfId="2926" priority="27" operator="containsText" text="WEB SERVICE">
      <formula>NOT(ISERROR(SEARCH("WEB SERVICE",E23)))</formula>
    </cfRule>
    <cfRule type="containsText" dxfId="2925" priority="28" operator="containsText" text="DB">
      <formula>NOT(ISERROR(SEARCH("DB",E23)))</formula>
    </cfRule>
  </conditionalFormatting>
  <conditionalFormatting sqref="C23">
    <cfRule type="expression" dxfId="2924" priority="30">
      <formula>$B23="Dial"</formula>
    </cfRule>
    <cfRule type="expression" dxfId="2923" priority="32">
      <formula>$B23="HANGUP"</formula>
    </cfRule>
  </conditionalFormatting>
  <conditionalFormatting sqref="C23">
    <cfRule type="expression" dxfId="2922" priority="31">
      <formula>$B23="Speak"</formula>
    </cfRule>
  </conditionalFormatting>
  <conditionalFormatting sqref="B20:B22">
    <cfRule type="containsText" dxfId="2921" priority="15" operator="containsText" text="Hear">
      <formula>NOT(ISERROR(SEARCH("Hear",B20)))</formula>
    </cfRule>
  </conditionalFormatting>
  <conditionalFormatting sqref="B18:B19">
    <cfRule type="containsText" dxfId="2920" priority="14" operator="containsText" text="Hear">
      <formula>NOT(ISERROR(SEARCH("Hear",B18)))</formula>
    </cfRule>
  </conditionalFormatting>
  <conditionalFormatting sqref="B9:B17">
    <cfRule type="containsText" dxfId="2919" priority="13" operator="containsText" text="Hear">
      <formula>NOT(ISERROR(SEARCH("Hear",B9)))</formula>
    </cfRule>
  </conditionalFormatting>
  <hyperlinks>
    <hyperlink ref="A1" location="'Test Case Overview'!A1" display="Return to Test Case Overview" xr:uid="{00000000-0004-0000-69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7" id="{933DC5F7-F590-4CB0-BB90-E167CAD5AEA7}">
            <xm:f>'TC1'!$B8="Dial"</xm:f>
            <x14:dxf>
              <font>
                <b/>
                <i val="0"/>
                <color rgb="FFFF0000"/>
              </font>
            </x14:dxf>
          </x14:cfRule>
          <x14:cfRule type="expression" priority="33" id="{97D315FC-3270-4109-B788-AB848E7C678E}">
            <xm:f>'TC1'!$B8="HANGUP"</xm:f>
            <x14:dxf>
              <font>
                <b/>
                <i val="0"/>
              </font>
            </x14:dxf>
          </x14:cfRule>
          <xm:sqref>C8</xm:sqref>
        </x14:conditionalFormatting>
        <x14:conditionalFormatting xmlns:xm="http://schemas.microsoft.com/office/excel/2006/main">
          <x14:cfRule type="expression" priority="34" id="{619BFB66-6571-4534-8D68-5F4A607B5E0E}">
            <xm:f>'TC1'!$B8="Speak"</xm:f>
            <x14:dxf>
              <font>
                <b/>
                <i val="0"/>
                <color rgb="FFFF0000"/>
              </font>
            </x14:dxf>
          </x14:cfRule>
          <xm:sqref>C8</xm:sqref>
        </x14:conditionalFormatting>
        <x14:conditionalFormatting xmlns:xm="http://schemas.microsoft.com/office/excel/2006/main">
          <x14:cfRule type="containsText" priority="35" operator="containsText" text="DB" id="{29353841-39B7-4403-9B13-48661A692813}">
            <xm:f>NOT(ISERROR(SEARCH("DB",'TC1'!E10)))</xm:f>
            <x14:dxf>
              <font>
                <color rgb="FF006100"/>
              </font>
              <fill>
                <patternFill>
                  <bgColor rgb="FFC6EFCE"/>
                </patternFill>
              </fill>
            </x14:dxf>
          </x14:cfRule>
          <x14:cfRule type="containsText" priority="35" operator="containsText" text="WEB SERVICE" id="{9279DB11-A09F-4D16-BDE0-04BF3CB3B05D}">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2383" id="{933DC5F7-F590-4CB0-BB90-E167CAD5AEA7}">
            <xm:f>'TC1'!#REF!="Dial"</xm:f>
            <x14:dxf>
              <font>
                <b/>
                <i val="0"/>
                <color rgb="FFFF0000"/>
              </font>
            </x14:dxf>
          </x14:cfRule>
          <x14:cfRule type="expression" priority="2384" id="{97D315FC-3270-4109-B788-AB848E7C678E}">
            <xm:f>'TC1'!#REF!="HANGUP"</xm:f>
            <x14:dxf>
              <font>
                <b/>
                <i val="0"/>
              </font>
            </x14:dxf>
          </x14:cfRule>
          <xm:sqref>C13 C17 C19:C22 C15</xm:sqref>
        </x14:conditionalFormatting>
        <x14:conditionalFormatting xmlns:xm="http://schemas.microsoft.com/office/excel/2006/main">
          <x14:cfRule type="expression" priority="2389" id="{619BFB66-6571-4534-8D68-5F4A607B5E0E}">
            <xm:f>'TC1'!#REF!="Speak"</xm:f>
            <x14:dxf>
              <font>
                <b/>
                <i val="0"/>
                <color rgb="FFFF0000"/>
              </font>
            </x14:dxf>
          </x14:cfRule>
          <xm:sqref>C13 C17 C19:C22 C15</xm:sqref>
        </x14:conditionalFormatting>
        <x14:conditionalFormatting xmlns:xm="http://schemas.microsoft.com/office/excel/2006/main">
          <x14:cfRule type="containsText" priority="2395" operator="containsText" text="DB" id="{29353841-39B7-4403-9B13-48661A692813}">
            <xm:f>NOT(ISERROR(SEARCH("DB",'TC1'!#REF!)))</xm:f>
            <x14:dxf>
              <font>
                <color rgb="FF006100"/>
              </font>
              <fill>
                <patternFill>
                  <bgColor rgb="FFC6EFCE"/>
                </patternFill>
              </fill>
            </x14:dxf>
          </x14:cfRule>
          <x14:cfRule type="containsText" priority="2396" operator="containsText" text="WEB SERVICE" id="{9279DB11-A09F-4D16-BDE0-04BF3CB3B05D}">
            <xm:f>NOT(ISERROR(SEARCH("WEB SERVICE",'TC1'!#REF!)))</xm:f>
            <x14:dxf>
              <font>
                <color rgb="FF9C0006"/>
              </font>
              <fill>
                <patternFill>
                  <bgColor rgb="FFFFC7CE"/>
                </patternFill>
              </fill>
            </x14:dxf>
          </x14:cfRule>
          <xm:sqref>E13:E22</xm:sqref>
        </x14:conditionalFormatting>
        <x14:conditionalFormatting xmlns:xm="http://schemas.microsoft.com/office/excel/2006/main">
          <x14:cfRule type="expression" priority="4213" id="{933DC5F7-F590-4CB0-BB90-E167CAD5AEA7}">
            <xm:f>'TC1'!$B10="Dial"</xm:f>
            <x14:dxf>
              <font>
                <b/>
                <i val="0"/>
                <color rgb="FFFF0000"/>
              </font>
            </x14:dxf>
          </x14:cfRule>
          <x14:cfRule type="expression" priority="4214" id="{97D315FC-3270-4109-B788-AB848E7C678E}">
            <xm:f>'TC1'!$B10="HANGUP"</xm:f>
            <x14:dxf>
              <font>
                <b/>
                <i val="0"/>
              </font>
            </x14:dxf>
          </x14:cfRule>
          <xm:sqref>C9:C11</xm:sqref>
        </x14:conditionalFormatting>
        <x14:conditionalFormatting xmlns:xm="http://schemas.microsoft.com/office/excel/2006/main">
          <x14:cfRule type="expression" priority="4216" id="{619BFB66-6571-4534-8D68-5F4A607B5E0E}">
            <xm:f>'TC1'!$B10="Speak"</xm:f>
            <x14:dxf>
              <font>
                <b/>
                <i val="0"/>
                <color rgb="FFFF0000"/>
              </font>
            </x14:dxf>
          </x14:cfRule>
          <xm:sqref>C9:C11</xm:sqref>
        </x14:conditionalFormatting>
        <x14:conditionalFormatting xmlns:xm="http://schemas.microsoft.com/office/excel/2006/main">
          <x14:cfRule type="expression" priority="10" id="{D0ABDC62-1514-4653-B867-89C259EAB4E7}">
            <xm:f>'TC1'!#REF!="HANGUP"</xm:f>
            <x14:dxf>
              <font>
                <b/>
                <i val="0"/>
              </font>
            </x14:dxf>
          </x14:cfRule>
          <x14:cfRule type="expression" priority="11" id="{727D67A8-FFFA-4B71-80DB-4954DAC868DD}">
            <xm:f>'TC1'!#REF!="Dial"</xm:f>
            <x14:dxf>
              <font>
                <b/>
                <i val="0"/>
                <color rgb="FFFF0000"/>
              </font>
            </x14:dxf>
          </x14:cfRule>
          <xm:sqref>C12</xm:sqref>
        </x14:conditionalFormatting>
        <x14:conditionalFormatting xmlns:xm="http://schemas.microsoft.com/office/excel/2006/main">
          <x14:cfRule type="expression" priority="12" id="{0D51B85A-85AC-4427-9D21-37EE2FCB1BB1}">
            <xm:f>'TC1'!#REF!="Speak"</xm:f>
            <x14:dxf>
              <font>
                <b/>
                <i val="0"/>
                <color rgb="FFFF0000"/>
              </font>
            </x14:dxf>
          </x14:cfRule>
          <xm:sqref>C12</xm:sqref>
        </x14:conditionalFormatting>
        <x14:conditionalFormatting xmlns:xm="http://schemas.microsoft.com/office/excel/2006/main">
          <x14:cfRule type="expression" priority="7" id="{8966C013-6755-4FA6-B9C9-C477FF8D8CD1}">
            <xm:f>'TC1'!#REF!="HANGUP"</xm:f>
            <x14:dxf>
              <font>
                <b/>
                <i val="0"/>
              </font>
            </x14:dxf>
          </x14:cfRule>
          <x14:cfRule type="expression" priority="8" id="{304004AD-0406-40E8-B393-2A22A1D334EB}">
            <xm:f>'TC1'!#REF!="Dial"</xm:f>
            <x14:dxf>
              <font>
                <b/>
                <i val="0"/>
                <color rgb="FFFF0000"/>
              </font>
            </x14:dxf>
          </x14:cfRule>
          <xm:sqref>C16</xm:sqref>
        </x14:conditionalFormatting>
        <x14:conditionalFormatting xmlns:xm="http://schemas.microsoft.com/office/excel/2006/main">
          <x14:cfRule type="expression" priority="9" id="{97670941-03A3-4EFE-A9B5-D5DB5787EEC4}">
            <xm:f>'TC1'!#REF!="Speak"</xm:f>
            <x14:dxf>
              <font>
                <b/>
                <i val="0"/>
                <color rgb="FFFF0000"/>
              </font>
            </x14:dxf>
          </x14:cfRule>
          <xm:sqref>C16</xm:sqref>
        </x14:conditionalFormatting>
        <x14:conditionalFormatting xmlns:xm="http://schemas.microsoft.com/office/excel/2006/main">
          <x14:cfRule type="expression" priority="4" id="{07F5598D-28E8-4FB4-AE7D-2B1648A38224}">
            <xm:f>'TC1'!#REF!="HANGUP"</xm:f>
            <x14:dxf>
              <font>
                <b/>
                <i val="0"/>
              </font>
            </x14:dxf>
          </x14:cfRule>
          <x14:cfRule type="expression" priority="5" id="{6DA3A92F-5904-49F5-B522-52E3558924FB}">
            <xm:f>'TC1'!#REF!="Dial"</xm:f>
            <x14:dxf>
              <font>
                <b/>
                <i val="0"/>
                <color rgb="FFFF0000"/>
              </font>
            </x14:dxf>
          </x14:cfRule>
          <xm:sqref>C18</xm:sqref>
        </x14:conditionalFormatting>
        <x14:conditionalFormatting xmlns:xm="http://schemas.microsoft.com/office/excel/2006/main">
          <x14:cfRule type="expression" priority="6" id="{560C06B8-6565-43DB-B2CA-233AC1E84BD1}">
            <xm:f>'TC1'!#REF!="Speak"</xm:f>
            <x14:dxf>
              <font>
                <b/>
                <i val="0"/>
                <color rgb="FFFF0000"/>
              </font>
            </x14:dxf>
          </x14:cfRule>
          <xm:sqref>C18</xm:sqref>
        </x14:conditionalFormatting>
        <x14:conditionalFormatting xmlns:xm="http://schemas.microsoft.com/office/excel/2006/main">
          <x14:cfRule type="expression" priority="1" id="{F224661C-62AB-4488-BE56-B015974AA384}">
            <xm:f>'TC1'!#REF!="HANGUP"</xm:f>
            <x14:dxf>
              <font>
                <b/>
                <i val="0"/>
              </font>
            </x14:dxf>
          </x14:cfRule>
          <x14:cfRule type="expression" priority="2" id="{3A452A44-88A2-43D7-B0A8-D1F408E3D581}">
            <xm:f>'TC1'!#REF!="Dial"</xm:f>
            <x14:dxf>
              <font>
                <b/>
                <i val="0"/>
                <color rgb="FFFF0000"/>
              </font>
            </x14:dxf>
          </x14:cfRule>
          <xm:sqref>C14</xm:sqref>
        </x14:conditionalFormatting>
        <x14:conditionalFormatting xmlns:xm="http://schemas.microsoft.com/office/excel/2006/main">
          <x14:cfRule type="expression" priority="3" id="{13D41FB6-A70F-4A2B-AF20-A78AB00F731D}">
            <xm:f>'TC1'!#REF!="Speak"</xm:f>
            <x14:dxf>
              <font>
                <b/>
                <i val="0"/>
                <color rgb="FFFF0000"/>
              </font>
            </x14:dxf>
          </x14:cfRule>
          <xm:sqref>C14</xm:sqref>
        </x14:conditionalFormatting>
      </x14:conditionalFormattings>
    </ext>
  </extLst>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codeName="Sheet108"/>
  <dimension ref="A1:E23"/>
  <sheetViews>
    <sheetView zoomScaleNormal="100" workbookViewId="0">
      <selection sqref="A1:B1"/>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TC106</v>
      </c>
      <c r="C2" s="94"/>
      <c r="D2" s="107"/>
      <c r="E2" s="93"/>
    </row>
    <row r="3" spans="1:5">
      <c r="A3" s="100" t="s">
        <v>19</v>
      </c>
      <c r="B3" s="108">
        <f ca="1">VLOOKUP(B2,Table53[#All],2,FALSE)</f>
        <v>0</v>
      </c>
      <c r="C3" s="94"/>
      <c r="D3" s="107"/>
      <c r="E3" s="93"/>
    </row>
    <row r="4" spans="1:5" ht="45">
      <c r="A4" s="109" t="s">
        <v>20</v>
      </c>
      <c r="B4" s="95" t="str">
        <f ca="1">VLOOKUP(B2,Table53[#All],4,FALSE)</f>
        <v>svcArea=titleSvcs, serviceType=chgOwnership, Not in progress or complete &lt;90days. 325-W-DF-X</v>
      </c>
      <c r="C4" s="94" t="s">
        <v>271</v>
      </c>
      <c r="D4" s="107"/>
      <c r="E4" s="93"/>
    </row>
    <row r="5" spans="1:5" ht="75">
      <c r="A5" s="100" t="s">
        <v>6</v>
      </c>
      <c r="B5" s="75" t="str">
        <f ca="1">VLOOKUP(B2,Table53[#All],3,FALSE)</f>
        <v>CallStart Main Menu /Title /Ownership changes/ID Auth=True/ transfer owner at ChangeMenu/ hear peg 0330  say repeat that/ hear 0325 again/Hear 0330again and say rep/xfer</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VLOOKUP(Table257519913140[[#This Row],[PEG]],Table1016[#All],2,FALSE)</f>
        <v>CallID.wav Call ID &lt;CallID&gt;</v>
      </c>
      <c r="D9" s="152" t="s">
        <v>477</v>
      </c>
      <c r="E9" s="122" t="str">
        <f>VLOOKUP(Table257519913140[[#This Row],[PEG]],Table1016[#All],3,FALSE)</f>
        <v>TEST</v>
      </c>
    </row>
    <row r="10" spans="1:5" ht="30">
      <c r="A10" s="114">
        <v>3</v>
      </c>
      <c r="B10" s="110" t="s">
        <v>115</v>
      </c>
      <c r="C10" s="105" t="str">
        <f>VLOOKUP(Table257519913140[[#This Row],[PEG]],Table1016[#All],2,FALSE)</f>
        <v>0100.wav Thank you for calling Shell vacations Club, we are glad you called. Please have your account number available for faster service. [To continue in Spanish, press 9]</v>
      </c>
      <c r="D10" s="152">
        <v>100</v>
      </c>
      <c r="E10" s="122" t="str">
        <f>VLOOKUP(Table257519913140[[#This Row],[PEG]],Table1016[#All],3,FALSE)</f>
        <v>PLAY PROMPT</v>
      </c>
    </row>
    <row r="11" spans="1:5" ht="30">
      <c r="A11" s="114">
        <v>4</v>
      </c>
      <c r="B11" s="110" t="s">
        <v>115</v>
      </c>
      <c r="C11" s="105" t="str">
        <f>VLOOKUP(Table257519913140[[#This Row],[PEG]],Table1016[#All],2,FALSE)</f>
        <v>0110-1.wav Which would you like? You can say... reservations, payments &amp; statements, title &amp; ownership changes, or more options.</v>
      </c>
      <c r="D11" s="152">
        <v>110</v>
      </c>
      <c r="E11" s="122" t="str">
        <f>VLOOKUP(Table257519913140[[#This Row],[PEG]],Table1016[#All],3,FALSE)</f>
        <v>MENU PROMPT</v>
      </c>
    </row>
    <row r="12" spans="1:5">
      <c r="A12" s="114">
        <v>5</v>
      </c>
      <c r="B12" s="110" t="s">
        <v>124</v>
      </c>
      <c r="C12" s="151" t="s">
        <v>486</v>
      </c>
      <c r="D12" s="152"/>
      <c r="E12" s="122" t="e">
        <f>VLOOKUP(Table257519913140[[#This Row],[PEG]],Table1016[#All],3,FALSE)</f>
        <v>#N/A</v>
      </c>
    </row>
    <row r="13" spans="1:5" ht="30">
      <c r="A13" s="114">
        <v>6</v>
      </c>
      <c r="B13" s="110" t="s">
        <v>115</v>
      </c>
      <c r="C13" s="105" t="str">
        <f>VLOOKUP(Table257519913140[[#This Row],[PEG]],Table1016[#All],2,FALSE)</f>
        <v>0300-1.wav You can say ownership changes, check status, make a payment, or help me with something else. Which would you like?</v>
      </c>
      <c r="D13" s="152">
        <v>300</v>
      </c>
      <c r="E13" s="122" t="str">
        <f>VLOOKUP(Table257519913140[[#This Row],[PEG]],Table1016[#All],3,FALSE)</f>
        <v>MENU PROMPT</v>
      </c>
    </row>
    <row r="14" spans="1:5">
      <c r="A14" s="114">
        <v>7</v>
      </c>
      <c r="B14" s="110" t="s">
        <v>124</v>
      </c>
      <c r="C14" s="151" t="s">
        <v>527</v>
      </c>
      <c r="D14" s="125"/>
      <c r="E14" s="122" t="e">
        <f>VLOOKUP(Table257519913140[[#This Row],[PEG]],Table1016[#All],3,FALSE)</f>
        <v>#N/A</v>
      </c>
    </row>
    <row r="15" spans="1:5">
      <c r="A15" s="114">
        <v>8</v>
      </c>
      <c r="B15" s="110" t="s">
        <v>115</v>
      </c>
      <c r="C15" s="105" t="str">
        <f>VLOOKUP(Table257519913140[[#This Row],[PEG]],Table1016[#All],2,FALSE)</f>
        <v>0200-1.wav To get started, what is your account number?</v>
      </c>
      <c r="D15" s="153">
        <v>200</v>
      </c>
      <c r="E15" s="122" t="str">
        <f>VLOOKUP(Table257519913140[[#This Row],[PEG]],Table1016[#All],3,FALSE)</f>
        <v>MENU PROMPT</v>
      </c>
    </row>
    <row r="16" spans="1:5">
      <c r="A16" s="114">
        <v>9</v>
      </c>
      <c r="B16" s="110" t="s">
        <v>114</v>
      </c>
      <c r="C16" s="151" t="s">
        <v>515</v>
      </c>
      <c r="D16" s="112"/>
      <c r="E16" s="122" t="e">
        <f>VLOOKUP(Table257519913140[[#This Row],[PEG]],Table1016[#All],3,FALSE)</f>
        <v>#N/A</v>
      </c>
    </row>
    <row r="17" spans="1:5">
      <c r="A17" s="114">
        <v>10</v>
      </c>
      <c r="B17" s="110" t="s">
        <v>115</v>
      </c>
      <c r="C17" s="105" t="str">
        <f>VLOOKUP(Table257519913140[[#This Row],[PEG]],Table1016[#All],2,FALSE)</f>
        <v>0210-1.wav And the date of birth for the primary owner?</v>
      </c>
      <c r="D17" s="154">
        <v>210</v>
      </c>
      <c r="E17" s="122" t="str">
        <f>VLOOKUP(Table257519913140[[#This Row],[PEG]],Table1016[#All],3,FALSE)</f>
        <v>MENU PROMPT</v>
      </c>
    </row>
    <row r="18" spans="1:5">
      <c r="A18" s="114">
        <v>11</v>
      </c>
      <c r="B18" s="110" t="s">
        <v>124</v>
      </c>
      <c r="C18" s="151" t="s">
        <v>524</v>
      </c>
      <c r="D18" s="113"/>
      <c r="E18" s="122" t="e">
        <f>VLOOKUP(Table257519913140[[#This Row],[PEG]],Table1016[#All],3,FALSE)</f>
        <v>#N/A</v>
      </c>
    </row>
    <row r="19" spans="1:5" ht="45">
      <c r="A19" s="114">
        <v>12</v>
      </c>
      <c r="B19" s="110" t="s">
        <v>115</v>
      </c>
      <c r="C19" s="105" t="str">
        <f>VLOOKUP(Table257519913140[[#This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54">
        <v>320</v>
      </c>
      <c r="E19" s="122" t="str">
        <f>VLOOKUP(Table257519913140[[#This Row],[PEG]],Table1016[#All],3,FALSE)</f>
        <v>MENU PROMPT</v>
      </c>
    </row>
    <row r="20" spans="1:5">
      <c r="A20" s="114">
        <v>13</v>
      </c>
      <c r="B20" s="110" t="s">
        <v>124</v>
      </c>
      <c r="C20" s="151" t="s">
        <v>507</v>
      </c>
      <c r="D20" s="113"/>
      <c r="E20" s="122" t="e">
        <f>VLOOKUP(Table257519913140[[#This Row],[PEG]],Table1016[#All],3,FALSE)</f>
        <v>#N/A</v>
      </c>
    </row>
    <row r="21" spans="1:5" ht="75">
      <c r="A21" s="114">
        <v>14</v>
      </c>
      <c r="B21" s="110" t="s">
        <v>115</v>
      </c>
      <c r="C21" s="105" t="str">
        <f>VLOOKUP(Table257519913140[[#This Row],[PEG]],Table1016[#All],2,FALSE)</f>
        <v>Wyndham requires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Worldmark Ownership Change.</v>
      </c>
      <c r="D21" s="94" t="s">
        <v>271</v>
      </c>
      <c r="E21" s="122" t="str">
        <f>VLOOKUP(Table257519913140[[#This Row],[PEG]],Table1016[#All],3,FALSE)</f>
        <v>PLAY PROMPT</v>
      </c>
    </row>
    <row r="22" spans="1:5" ht="30">
      <c r="A22" s="114">
        <v>15</v>
      </c>
      <c r="B22" s="110" t="s">
        <v>115</v>
      </c>
      <c r="C22" s="105" t="str">
        <f>VLOOKUP(Table257519913140[[#This Row],[PEG]],Table1016[#All],2,FALSE)</f>
        <v>0330-1.wav To hear this information again, say repeat that. If you would like me to send you a letter with instructions to start the process, say information letter.</v>
      </c>
      <c r="D22" s="154">
        <v>330</v>
      </c>
      <c r="E22" s="122" t="str">
        <f>VLOOKUP(Table257519913140[[#This Row],[PEG]],Table1016[#All],3,FALSE)</f>
        <v>MENU PROMPT</v>
      </c>
    </row>
    <row r="23" spans="1:5">
      <c r="A23" s="114">
        <v>16</v>
      </c>
      <c r="B23" s="110" t="s">
        <v>13</v>
      </c>
      <c r="C23" s="17" t="s">
        <v>13</v>
      </c>
      <c r="D23" s="111"/>
      <c r="E23" s="31"/>
    </row>
  </sheetData>
  <mergeCells count="1">
    <mergeCell ref="A1:B1"/>
  </mergeCells>
  <conditionalFormatting sqref="B8 B23">
    <cfRule type="containsText" dxfId="2884" priority="16" operator="containsText" text="Hear">
      <formula>NOT(ISERROR(SEARCH("Hear",B8)))</formula>
    </cfRule>
  </conditionalFormatting>
  <conditionalFormatting sqref="E23">
    <cfRule type="containsText" dxfId="2883" priority="27" operator="containsText" text="WEB SERVICE">
      <formula>NOT(ISERROR(SEARCH("WEB SERVICE",E23)))</formula>
    </cfRule>
    <cfRule type="containsText" dxfId="2882" priority="28" operator="containsText" text="DB">
      <formula>NOT(ISERROR(SEARCH("DB",E23)))</formula>
    </cfRule>
  </conditionalFormatting>
  <conditionalFormatting sqref="C23">
    <cfRule type="expression" dxfId="2881" priority="30">
      <formula>$B23="Dial"</formula>
    </cfRule>
    <cfRule type="expression" dxfId="2880" priority="32">
      <formula>$B23="HANGUP"</formula>
    </cfRule>
  </conditionalFormatting>
  <conditionalFormatting sqref="C23">
    <cfRule type="expression" dxfId="2879" priority="31">
      <formula>$B23="Speak"</formula>
    </cfRule>
  </conditionalFormatting>
  <conditionalFormatting sqref="B20:B22">
    <cfRule type="containsText" dxfId="2878" priority="15" operator="containsText" text="Hear">
      <formula>NOT(ISERROR(SEARCH("Hear",B20)))</formula>
    </cfRule>
  </conditionalFormatting>
  <conditionalFormatting sqref="B18:B19">
    <cfRule type="containsText" dxfId="2877" priority="14" operator="containsText" text="Hear">
      <formula>NOT(ISERROR(SEARCH("Hear",B18)))</formula>
    </cfRule>
  </conditionalFormatting>
  <conditionalFormatting sqref="B9:B17">
    <cfRule type="containsText" dxfId="2876" priority="13" operator="containsText" text="Hear">
      <formula>NOT(ISERROR(SEARCH("Hear",B9)))</formula>
    </cfRule>
  </conditionalFormatting>
  <hyperlinks>
    <hyperlink ref="A1" location="'Test Case Overview'!A1" display="Return to Test Case Overview" xr:uid="{00000000-0004-0000-6A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7" id="{5455BDB5-D022-4429-BBCC-6E93FFECF249}">
            <xm:f>'TC1'!$B8="Dial"</xm:f>
            <x14:dxf>
              <font>
                <b/>
                <i val="0"/>
                <color rgb="FFFF0000"/>
              </font>
            </x14:dxf>
          </x14:cfRule>
          <x14:cfRule type="expression" priority="33" id="{3AC8C7D7-6815-432A-A7E7-12177F895C51}">
            <xm:f>'TC1'!$B8="HANGUP"</xm:f>
            <x14:dxf>
              <font>
                <b/>
                <i val="0"/>
              </font>
            </x14:dxf>
          </x14:cfRule>
          <xm:sqref>C8</xm:sqref>
        </x14:conditionalFormatting>
        <x14:conditionalFormatting xmlns:xm="http://schemas.microsoft.com/office/excel/2006/main">
          <x14:cfRule type="expression" priority="34" id="{CCAE918D-59F1-4BA9-BA34-C77BA7F44CF6}">
            <xm:f>'TC1'!$B8="Speak"</xm:f>
            <x14:dxf>
              <font>
                <b/>
                <i val="0"/>
                <color rgb="FFFF0000"/>
              </font>
            </x14:dxf>
          </x14:cfRule>
          <xm:sqref>C8</xm:sqref>
        </x14:conditionalFormatting>
        <x14:conditionalFormatting xmlns:xm="http://schemas.microsoft.com/office/excel/2006/main">
          <x14:cfRule type="containsText" priority="35" operator="containsText" text="DB" id="{A3ED56A5-03D6-4960-8043-AC259FE04D09}">
            <xm:f>NOT(ISERROR(SEARCH("DB",'TC1'!E10)))</xm:f>
            <x14:dxf>
              <font>
                <color rgb="FF006100"/>
              </font>
              <fill>
                <patternFill>
                  <bgColor rgb="FFC6EFCE"/>
                </patternFill>
              </fill>
            </x14:dxf>
          </x14:cfRule>
          <x14:cfRule type="containsText" priority="35" operator="containsText" text="WEB SERVICE" id="{E4ABFE1F-2A05-4B0F-B2A3-83E5B0F5738D}">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2403" id="{5455BDB5-D022-4429-BBCC-6E93FFECF249}">
            <xm:f>'TC1'!#REF!="Dial"</xm:f>
            <x14:dxf>
              <font>
                <b/>
                <i val="0"/>
                <color rgb="FFFF0000"/>
              </font>
            </x14:dxf>
          </x14:cfRule>
          <x14:cfRule type="expression" priority="2404" id="{3AC8C7D7-6815-432A-A7E7-12177F895C51}">
            <xm:f>'TC1'!#REF!="HANGUP"</xm:f>
            <x14:dxf>
              <font>
                <b/>
                <i val="0"/>
              </font>
            </x14:dxf>
          </x14:cfRule>
          <xm:sqref>C13 C17 C19:C22 C15</xm:sqref>
        </x14:conditionalFormatting>
        <x14:conditionalFormatting xmlns:xm="http://schemas.microsoft.com/office/excel/2006/main">
          <x14:cfRule type="expression" priority="2409" id="{CCAE918D-59F1-4BA9-BA34-C77BA7F44CF6}">
            <xm:f>'TC1'!#REF!="Speak"</xm:f>
            <x14:dxf>
              <font>
                <b/>
                <i val="0"/>
                <color rgb="FFFF0000"/>
              </font>
            </x14:dxf>
          </x14:cfRule>
          <xm:sqref>C13 C17 C19:C22 C15</xm:sqref>
        </x14:conditionalFormatting>
        <x14:conditionalFormatting xmlns:xm="http://schemas.microsoft.com/office/excel/2006/main">
          <x14:cfRule type="containsText" priority="2415" operator="containsText" text="DB" id="{A3ED56A5-03D6-4960-8043-AC259FE04D09}">
            <xm:f>NOT(ISERROR(SEARCH("DB",'TC1'!#REF!)))</xm:f>
            <x14:dxf>
              <font>
                <color rgb="FF006100"/>
              </font>
              <fill>
                <patternFill>
                  <bgColor rgb="FFC6EFCE"/>
                </patternFill>
              </fill>
            </x14:dxf>
          </x14:cfRule>
          <x14:cfRule type="containsText" priority="2416" operator="containsText" text="WEB SERVICE" id="{E4ABFE1F-2A05-4B0F-B2A3-83E5B0F5738D}">
            <xm:f>NOT(ISERROR(SEARCH("WEB SERVICE",'TC1'!#REF!)))</xm:f>
            <x14:dxf>
              <font>
                <color rgb="FF9C0006"/>
              </font>
              <fill>
                <patternFill>
                  <bgColor rgb="FFFFC7CE"/>
                </patternFill>
              </fill>
            </x14:dxf>
          </x14:cfRule>
          <xm:sqref>E13:E22</xm:sqref>
        </x14:conditionalFormatting>
        <x14:conditionalFormatting xmlns:xm="http://schemas.microsoft.com/office/excel/2006/main">
          <x14:cfRule type="expression" priority="4221" id="{5455BDB5-D022-4429-BBCC-6E93FFECF249}">
            <xm:f>'TC1'!$B10="Dial"</xm:f>
            <x14:dxf>
              <font>
                <b/>
                <i val="0"/>
                <color rgb="FFFF0000"/>
              </font>
            </x14:dxf>
          </x14:cfRule>
          <x14:cfRule type="expression" priority="4222" id="{3AC8C7D7-6815-432A-A7E7-12177F895C51}">
            <xm:f>'TC1'!$B10="HANGUP"</xm:f>
            <x14:dxf>
              <font>
                <b/>
                <i val="0"/>
              </font>
            </x14:dxf>
          </x14:cfRule>
          <xm:sqref>C9:C11</xm:sqref>
        </x14:conditionalFormatting>
        <x14:conditionalFormatting xmlns:xm="http://schemas.microsoft.com/office/excel/2006/main">
          <x14:cfRule type="expression" priority="4224" id="{CCAE918D-59F1-4BA9-BA34-C77BA7F44CF6}">
            <xm:f>'TC1'!$B10="Speak"</xm:f>
            <x14:dxf>
              <font>
                <b/>
                <i val="0"/>
                <color rgb="FFFF0000"/>
              </font>
            </x14:dxf>
          </x14:cfRule>
          <xm:sqref>C9:C11</xm:sqref>
        </x14:conditionalFormatting>
        <x14:conditionalFormatting xmlns:xm="http://schemas.microsoft.com/office/excel/2006/main">
          <x14:cfRule type="expression" priority="10" id="{4009BC6C-47BB-4B6D-82B4-91A56B13100D}">
            <xm:f>'TC1'!#REF!="HANGUP"</xm:f>
            <x14:dxf>
              <font>
                <b/>
                <i val="0"/>
              </font>
            </x14:dxf>
          </x14:cfRule>
          <x14:cfRule type="expression" priority="11" id="{02676E64-16A0-4FFE-8E5A-B98007878984}">
            <xm:f>'TC1'!#REF!="Dial"</xm:f>
            <x14:dxf>
              <font>
                <b/>
                <i val="0"/>
                <color rgb="FFFF0000"/>
              </font>
            </x14:dxf>
          </x14:cfRule>
          <xm:sqref>C12</xm:sqref>
        </x14:conditionalFormatting>
        <x14:conditionalFormatting xmlns:xm="http://schemas.microsoft.com/office/excel/2006/main">
          <x14:cfRule type="expression" priority="12" id="{F4E16D3D-F126-401E-9956-02778A3C8577}">
            <xm:f>'TC1'!#REF!="Speak"</xm:f>
            <x14:dxf>
              <font>
                <b/>
                <i val="0"/>
                <color rgb="FFFF0000"/>
              </font>
            </x14:dxf>
          </x14:cfRule>
          <xm:sqref>C12</xm:sqref>
        </x14:conditionalFormatting>
        <x14:conditionalFormatting xmlns:xm="http://schemas.microsoft.com/office/excel/2006/main">
          <x14:cfRule type="expression" priority="7" id="{8C8F3A8A-7928-4800-80E8-721571ACEA0F}">
            <xm:f>'TC1'!#REF!="HANGUP"</xm:f>
            <x14:dxf>
              <font>
                <b/>
                <i val="0"/>
              </font>
            </x14:dxf>
          </x14:cfRule>
          <x14:cfRule type="expression" priority="8" id="{014E6EA2-8C61-490F-9C89-BD9B3A2877B7}">
            <xm:f>'TC1'!#REF!="Dial"</xm:f>
            <x14:dxf>
              <font>
                <b/>
                <i val="0"/>
                <color rgb="FFFF0000"/>
              </font>
            </x14:dxf>
          </x14:cfRule>
          <xm:sqref>C16</xm:sqref>
        </x14:conditionalFormatting>
        <x14:conditionalFormatting xmlns:xm="http://schemas.microsoft.com/office/excel/2006/main">
          <x14:cfRule type="expression" priority="9" id="{A8C7A75D-BB72-4523-859C-350BA574F9B6}">
            <xm:f>'TC1'!#REF!="Speak"</xm:f>
            <x14:dxf>
              <font>
                <b/>
                <i val="0"/>
                <color rgb="FFFF0000"/>
              </font>
            </x14:dxf>
          </x14:cfRule>
          <xm:sqref>C16</xm:sqref>
        </x14:conditionalFormatting>
        <x14:conditionalFormatting xmlns:xm="http://schemas.microsoft.com/office/excel/2006/main">
          <x14:cfRule type="expression" priority="4" id="{D906E714-C293-47D2-9747-80CFBC814C02}">
            <xm:f>'TC1'!#REF!="HANGUP"</xm:f>
            <x14:dxf>
              <font>
                <b/>
                <i val="0"/>
              </font>
            </x14:dxf>
          </x14:cfRule>
          <x14:cfRule type="expression" priority="5" id="{45AC14D2-FE41-4DD7-B84C-1B017F3B6EE0}">
            <xm:f>'TC1'!#REF!="Dial"</xm:f>
            <x14:dxf>
              <font>
                <b/>
                <i val="0"/>
                <color rgb="FFFF0000"/>
              </font>
            </x14:dxf>
          </x14:cfRule>
          <xm:sqref>C18</xm:sqref>
        </x14:conditionalFormatting>
        <x14:conditionalFormatting xmlns:xm="http://schemas.microsoft.com/office/excel/2006/main">
          <x14:cfRule type="expression" priority="6" id="{E1712AFA-7E65-49A5-99A3-1B4F5C41C7C5}">
            <xm:f>'TC1'!#REF!="Speak"</xm:f>
            <x14:dxf>
              <font>
                <b/>
                <i val="0"/>
                <color rgb="FFFF0000"/>
              </font>
            </x14:dxf>
          </x14:cfRule>
          <xm:sqref>C18</xm:sqref>
        </x14:conditionalFormatting>
        <x14:conditionalFormatting xmlns:xm="http://schemas.microsoft.com/office/excel/2006/main">
          <x14:cfRule type="expression" priority="1" id="{B350F7A5-5666-4428-8920-8DBF2FC9686C}">
            <xm:f>'TC1'!#REF!="HANGUP"</xm:f>
            <x14:dxf>
              <font>
                <b/>
                <i val="0"/>
              </font>
            </x14:dxf>
          </x14:cfRule>
          <x14:cfRule type="expression" priority="2" id="{B0E35AE4-676B-4DA6-980C-58F33F43EABC}">
            <xm:f>'TC1'!#REF!="Dial"</xm:f>
            <x14:dxf>
              <font>
                <b/>
                <i val="0"/>
                <color rgb="FFFF0000"/>
              </font>
            </x14:dxf>
          </x14:cfRule>
          <xm:sqref>C14</xm:sqref>
        </x14:conditionalFormatting>
        <x14:conditionalFormatting xmlns:xm="http://schemas.microsoft.com/office/excel/2006/main">
          <x14:cfRule type="expression" priority="3" id="{04720C13-5082-4C91-8D07-15452042A5A8}">
            <xm:f>'TC1'!#REF!="Speak"</xm:f>
            <x14:dxf>
              <font>
                <b/>
                <i val="0"/>
                <color rgb="FFFF0000"/>
              </font>
            </x14:dxf>
          </x14:cfRule>
          <xm:sqref>C14</xm:sqref>
        </x14:conditionalFormatting>
      </x14:conditionalFormattings>
    </ext>
  </extLst>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codeName="Sheet109"/>
  <dimension ref="A1:E23"/>
  <sheetViews>
    <sheetView zoomScaleNormal="100" workbookViewId="0">
      <selection sqref="A1:B1"/>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TC107</v>
      </c>
      <c r="C2" s="94"/>
      <c r="D2" s="107"/>
      <c r="E2" s="93"/>
    </row>
    <row r="3" spans="1:5">
      <c r="A3" s="100" t="s">
        <v>19</v>
      </c>
      <c r="B3" s="108">
        <f ca="1">VLOOKUP(B2,Table44[#All],2,FALSE)</f>
        <v>0</v>
      </c>
      <c r="C3" s="94"/>
      <c r="D3" s="107"/>
      <c r="E3" s="93"/>
    </row>
    <row r="4" spans="1:5" ht="30">
      <c r="A4" s="109" t="s">
        <v>20</v>
      </c>
      <c r="B4" s="95" t="str">
        <f ca="1">VLOOKUP(B2,Table44[#All],4,FALSE)</f>
        <v>peg 0200</v>
      </c>
      <c r="C4" s="94"/>
      <c r="D4" s="107"/>
      <c r="E4" s="93"/>
    </row>
    <row r="5" spans="1:5" ht="45">
      <c r="A5" s="100" t="s">
        <v>6</v>
      </c>
      <c r="B5" s="75" t="str">
        <f ca="1">VLOOKUP(B2,Table44[#All],3,FALSE)</f>
        <v>COLL INBD/IDAUTH/ enter acct/ hear conf prompt/hear repromt/ enter acct/hear conf prompt /call xfer</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24" t="s">
        <v>475</v>
      </c>
      <c r="D8" s="125"/>
      <c r="E8" s="122" t="s">
        <v>11</v>
      </c>
    </row>
    <row r="9" spans="1:5">
      <c r="A9" s="114">
        <v>2</v>
      </c>
      <c r="B9" s="110" t="s">
        <v>115</v>
      </c>
      <c r="C9" s="105" t="str">
        <f>VLOOKUP(Table25751991314099[[#This Row],[PEG]],Table1016[#All],2,FALSE)</f>
        <v>CallID.wav Call ID &lt;CallID&gt;</v>
      </c>
      <c r="D9" s="145" t="s">
        <v>477</v>
      </c>
      <c r="E9" s="122" t="str">
        <f>VLOOKUP(Table25751991314099[[#This Row],[PEG]],Table1016[#All],3,FALSE)</f>
        <v>TEST</v>
      </c>
    </row>
    <row r="10" spans="1:5" ht="30">
      <c r="A10" s="114">
        <v>3</v>
      </c>
      <c r="B10" s="110" t="s">
        <v>115</v>
      </c>
      <c r="C10" s="105" t="str">
        <f>VLOOKUP(Table25751991314099[[#This Row],[PEG]],Table1016[#All],2,FALSE)</f>
        <v>0100.wav Thank you for calling Shell vacations Club, we are glad you called. Please have your account number available for faster service. [To continue in Spanish, press 9]</v>
      </c>
      <c r="D10" s="145">
        <v>100</v>
      </c>
      <c r="E10" s="122" t="str">
        <f>VLOOKUP(Table25751991314099[[#This Row],[PEG]],Table1016[#All],3,FALSE)</f>
        <v>PLAY PROMPT</v>
      </c>
    </row>
    <row r="11" spans="1:5">
      <c r="A11" s="114">
        <v>4</v>
      </c>
      <c r="B11" s="110" t="s">
        <v>115</v>
      </c>
      <c r="C11" s="105" t="str">
        <f>VLOOKUP(Table25751991314099[[#This Row],[PEG]],Table1016[#All],2,FALSE)</f>
        <v>0200-1.wav To get started, what is your account number?</v>
      </c>
      <c r="D11" s="145">
        <v>200</v>
      </c>
      <c r="E11" s="122" t="str">
        <f>VLOOKUP(Table25751991314099[[#This Row],[PEG]],Table1016[#All],3,FALSE)</f>
        <v>MENU PROMPT</v>
      </c>
    </row>
    <row r="12" spans="1:5">
      <c r="A12" s="114">
        <v>5</v>
      </c>
      <c r="B12" s="110" t="s">
        <v>114</v>
      </c>
      <c r="C12" s="151" t="s">
        <v>515</v>
      </c>
      <c r="D12" s="145"/>
      <c r="E12" s="122" t="e">
        <f>VLOOKUP(Table25751991314099[[#This Row],[PEG]],Table1016[#All],3,FALSE)</f>
        <v>#N/A</v>
      </c>
    </row>
    <row r="13" spans="1:5" ht="45">
      <c r="A13" s="114">
        <v>6</v>
      </c>
      <c r="B13" s="110" t="s">
        <v>115</v>
      </c>
      <c r="C13" s="105" t="str">
        <f>VLOOKUP(Table25751991314099[[#This Row],[PEG]],Table1016[#All],2,FALSE)</f>
        <v>gl_thatwas.wav That was ... 
    &lt;Response&gt;
gl_isthatright.wav …is that right?</v>
      </c>
      <c r="D13" s="145" t="s">
        <v>299</v>
      </c>
      <c r="E13" s="122" t="str">
        <f>VLOOKUP(Table25751991314099[[#This Row],[PEG]],Table1016[#All],3,FALSE)</f>
        <v>MENU PROMPT</v>
      </c>
    </row>
    <row r="14" spans="1:5">
      <c r="A14" s="114">
        <v>7</v>
      </c>
      <c r="B14" s="110" t="s">
        <v>124</v>
      </c>
      <c r="C14" s="151" t="s">
        <v>584</v>
      </c>
      <c r="D14" s="145"/>
      <c r="E14" s="122" t="e">
        <f>VLOOKUP(Table25751991314099[[#This Row],[PEG]],Table1016[#All],3,FALSE)</f>
        <v>#N/A</v>
      </c>
    </row>
    <row r="15" spans="1:5">
      <c r="A15" s="114">
        <v>8</v>
      </c>
      <c r="B15" s="110" t="s">
        <v>115</v>
      </c>
      <c r="C15" s="105" t="str">
        <f>VLOOKUP(Table25751991314099[[#This Row],[PEG]],Table1016[#All],2,FALSE)</f>
        <v>Sorry.</v>
      </c>
      <c r="D15" s="112" t="s">
        <v>295</v>
      </c>
      <c r="E15" s="122" t="str">
        <f>VLOOKUP(Table25751991314099[[#This Row],[PEG]],Table1016[#All],3,FALSE)</f>
        <v>PLAY PROMPT</v>
      </c>
    </row>
    <row r="16" spans="1:5">
      <c r="A16" s="114">
        <v>9</v>
      </c>
      <c r="B16" s="110" t="s">
        <v>115</v>
      </c>
      <c r="C16" s="105" t="str">
        <f>VLOOKUP(Table25751991314099[[#This Row],[PEG]],Table1016[#All],2,FALSE)</f>
        <v>0200AccountNumRetry.wav Please say or enter your account number.</v>
      </c>
      <c r="D16" s="112" t="s">
        <v>377</v>
      </c>
      <c r="E16" s="122" t="str">
        <f>VLOOKUP(Table25751991314099[[#This Row],[PEG]],Table1016[#All],3,FALSE)</f>
        <v>MENU PROMPT</v>
      </c>
    </row>
    <row r="17" spans="1:5">
      <c r="A17" s="114">
        <v>10</v>
      </c>
      <c r="B17" s="110" t="s">
        <v>114</v>
      </c>
      <c r="C17" s="151" t="s">
        <v>515</v>
      </c>
      <c r="D17" s="113"/>
      <c r="E17" s="122" t="e">
        <f>VLOOKUP(Table25751991314099[[#This Row],[PEG]],Table1016[#All],3,FALSE)</f>
        <v>#N/A</v>
      </c>
    </row>
    <row r="18" spans="1:5" ht="45">
      <c r="A18" s="114">
        <v>11</v>
      </c>
      <c r="B18" s="110" t="s">
        <v>115</v>
      </c>
      <c r="C18" s="105" t="str">
        <f>VLOOKUP(Table25751991314099[[#This Row],[PEG]],Table1016[#All],2,FALSE)</f>
        <v>gl_thatwas.wav That was ... 
    &lt;Response&gt;
gl_isthatright.wav …is that right?</v>
      </c>
      <c r="D18" s="145" t="s">
        <v>299</v>
      </c>
      <c r="E18" s="122" t="str">
        <f>VLOOKUP(Table25751991314099[[#This Row],[PEG]],Table1016[#All],3,FALSE)</f>
        <v>MENU PROMPT</v>
      </c>
    </row>
    <row r="19" spans="1:5">
      <c r="A19" s="114">
        <v>12</v>
      </c>
      <c r="B19" s="110" t="s">
        <v>124</v>
      </c>
      <c r="C19" s="151" t="s">
        <v>584</v>
      </c>
      <c r="D19" s="112"/>
      <c r="E19" s="122" t="e">
        <f>VLOOKUP(Table25751991314099[[#This Row],[PEG]],Table1016[#All],3,FALSE)</f>
        <v>#N/A</v>
      </c>
    </row>
    <row r="20" spans="1:5">
      <c r="A20" s="114">
        <v>13</v>
      </c>
      <c r="B20" s="110" t="s">
        <v>115</v>
      </c>
      <c r="C20" s="105" t="str">
        <f>VLOOKUP(Table25751991314099[[#This Row],[PEG]],Table1016[#All],2,FALSE)</f>
        <v>Sorry, I'm having trouble</v>
      </c>
      <c r="D20" s="112" t="s">
        <v>297</v>
      </c>
      <c r="E20" s="122" t="str">
        <f>VLOOKUP(Table25751991314099[[#This Row],[PEG]],Table1016[#All],3,FALSE)</f>
        <v>PLAY PROMPT</v>
      </c>
    </row>
    <row r="21" spans="1:5">
      <c r="A21" s="114">
        <v>14</v>
      </c>
      <c r="B21" s="110" t="s">
        <v>115</v>
      </c>
      <c r="C21" s="105" t="str">
        <f>VLOOKUP(Table25751991314099[[#This Row],[PEG]],Table1016[#All],2,FALSE)</f>
        <v>0900.wav Please hold, while I connect you to a customer service representative.</v>
      </c>
      <c r="D21" s="113">
        <v>900</v>
      </c>
      <c r="E21" s="122" t="str">
        <f>VLOOKUP(Table25751991314099[[#This Row],[PEG]],Table1016[#All],3,FALSE)</f>
        <v>PLAY PROMPT</v>
      </c>
    </row>
    <row r="22" spans="1:5">
      <c r="A22" s="114">
        <v>15</v>
      </c>
      <c r="B22" s="110" t="s">
        <v>115</v>
      </c>
      <c r="C22" s="105" t="str">
        <f>VLOOKUP(Table25751991314099[[#This Row],[PEG]],Table1016[#All],2,FALSE)</f>
        <v>XferNbr.wav Transfer Number &lt;TransferNbr&gt;</v>
      </c>
      <c r="D22" s="113" t="s">
        <v>480</v>
      </c>
      <c r="E22" s="122" t="str">
        <f>VLOOKUP(Table25751991314099[[#This Row],[PEG]],Table1016[#All],3,FALSE)</f>
        <v>TEST</v>
      </c>
    </row>
    <row r="23" spans="1:5">
      <c r="A23" s="114">
        <v>16</v>
      </c>
      <c r="B23" s="110" t="s">
        <v>13</v>
      </c>
      <c r="C23" s="17" t="s">
        <v>13</v>
      </c>
      <c r="D23" s="111"/>
      <c r="E23" s="31"/>
    </row>
  </sheetData>
  <mergeCells count="1">
    <mergeCell ref="A1:B1"/>
  </mergeCells>
  <conditionalFormatting sqref="B23">
    <cfRule type="containsText" dxfId="2841" priority="12" operator="containsText" text="Hear">
      <formula>NOT(ISERROR(SEARCH("Hear",B23)))</formula>
    </cfRule>
  </conditionalFormatting>
  <conditionalFormatting sqref="E23">
    <cfRule type="containsText" dxfId="2840" priority="20" operator="containsText" text="WEB SERVICE">
      <formula>NOT(ISERROR(SEARCH("WEB SERVICE",E23)))</formula>
    </cfRule>
    <cfRule type="containsText" dxfId="2839" priority="21" operator="containsText" text="DB">
      <formula>NOT(ISERROR(SEARCH("DB",E23)))</formula>
    </cfRule>
  </conditionalFormatting>
  <conditionalFormatting sqref="C23">
    <cfRule type="expression" dxfId="2838" priority="23">
      <formula>$B23="Dial"</formula>
    </cfRule>
    <cfRule type="expression" dxfId="2837" priority="25">
      <formula>$B23="HANGUP"</formula>
    </cfRule>
  </conditionalFormatting>
  <conditionalFormatting sqref="C23">
    <cfRule type="expression" dxfId="2836" priority="24">
      <formula>$B23="Speak"</formula>
    </cfRule>
  </conditionalFormatting>
  <conditionalFormatting sqref="B8:B18">
    <cfRule type="containsText" dxfId="2835" priority="9" operator="containsText" text="Hear">
      <formula>NOT(ISERROR(SEARCH("Hear",B8)))</formula>
    </cfRule>
  </conditionalFormatting>
  <conditionalFormatting sqref="B19:B22">
    <cfRule type="containsText" dxfId="2834" priority="13" operator="containsText" text="Hear">
      <formula>NOT(ISERROR(SEARCH("Hear",B19)))</formula>
    </cfRule>
  </conditionalFormatting>
  <conditionalFormatting sqref="C8">
    <cfRule type="expression" dxfId="2833" priority="7">
      <formula>$B8="Dial"</formula>
    </cfRule>
    <cfRule type="expression" dxfId="2832" priority="8">
      <formula>$B8="HANGUP"</formula>
    </cfRule>
  </conditionalFormatting>
  <hyperlinks>
    <hyperlink ref="A1" location="'Test Case Overview'!A1" display="Return to Test Case Overview" xr:uid="{00000000-0004-0000-6B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15" operator="containsText" text="DB" id="{149FD1D1-75EE-46E4-AC50-3F0845FFF6F6}">
            <xm:f>NOT(ISERROR(SEARCH("DB",'TC1'!E10)))</xm:f>
            <x14:dxf>
              <font>
                <color rgb="FF006100"/>
              </font>
              <fill>
                <patternFill>
                  <bgColor rgb="FFC6EFCE"/>
                </patternFill>
              </fill>
            </x14:dxf>
          </x14:cfRule>
          <x14:cfRule type="containsText" priority="19" operator="containsText" text="WEB SERVICE" id="{7E9295D2-F851-42C9-A3FB-3BF066028C7A}">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2416" id="{03FB9A59-FB5F-4D74-84F2-37A1D6BA7377}">
            <xm:f>'TC1'!#REF!="HANGUP"</xm:f>
            <x14:dxf>
              <font>
                <b/>
                <i val="0"/>
              </font>
            </x14:dxf>
          </x14:cfRule>
          <x14:cfRule type="expression" priority="2417" id="{243A2020-097E-4972-BE82-DAE4EEE6A3FC}">
            <xm:f>'TC1'!#REF!="Dial"</xm:f>
            <x14:dxf>
              <font>
                <b/>
                <i val="0"/>
                <color rgb="FFFF0000"/>
              </font>
            </x14:dxf>
          </x14:cfRule>
          <xm:sqref>C13:C16 C18:C22</xm:sqref>
        </x14:conditionalFormatting>
        <x14:conditionalFormatting xmlns:xm="http://schemas.microsoft.com/office/excel/2006/main">
          <x14:cfRule type="expression" priority="2422" id="{3C5518BB-B828-48D7-A995-C8B270E7082C}">
            <xm:f>'TC1'!#REF!="Speak"</xm:f>
            <x14:dxf>
              <font>
                <b/>
                <i val="0"/>
                <color rgb="FFFF0000"/>
              </font>
            </x14:dxf>
          </x14:cfRule>
          <xm:sqref>C13:C16 C18:C22</xm:sqref>
        </x14:conditionalFormatting>
        <x14:conditionalFormatting xmlns:xm="http://schemas.microsoft.com/office/excel/2006/main">
          <x14:cfRule type="containsText" priority="2428" operator="containsText" text="DB" id="{149FD1D1-75EE-46E4-AC50-3F0845FFF6F6}">
            <xm:f>NOT(ISERROR(SEARCH("DB",'TC1'!#REF!)))</xm:f>
            <x14:dxf>
              <font>
                <color rgb="FF006100"/>
              </font>
              <fill>
                <patternFill>
                  <bgColor rgb="FFC6EFCE"/>
                </patternFill>
              </fill>
            </x14:dxf>
          </x14:cfRule>
          <x14:cfRule type="containsText" priority="2429" operator="containsText" text="WEB SERVICE" id="{7E9295D2-F851-42C9-A3FB-3BF066028C7A}">
            <xm:f>NOT(ISERROR(SEARCH("WEB SERVICE",'TC1'!#REF!)))</xm:f>
            <x14:dxf>
              <font>
                <color rgb="FF9C0006"/>
              </font>
              <fill>
                <patternFill>
                  <bgColor rgb="FFFFC7CE"/>
                </patternFill>
              </fill>
            </x14:dxf>
          </x14:cfRule>
          <xm:sqref>E13:E22</xm:sqref>
        </x14:conditionalFormatting>
        <x14:conditionalFormatting xmlns:xm="http://schemas.microsoft.com/office/excel/2006/main">
          <x14:cfRule type="expression" priority="4222" id="{03FB9A59-FB5F-4D74-84F2-37A1D6BA7377}">
            <xm:f>'TC1'!$B10="HANGUP"</xm:f>
            <x14:dxf>
              <font>
                <b/>
                <i val="0"/>
              </font>
            </x14:dxf>
          </x14:cfRule>
          <x14:cfRule type="expression" priority="4223" id="{243A2020-097E-4972-BE82-DAE4EEE6A3FC}">
            <xm:f>'TC1'!$B10="Dial"</xm:f>
            <x14:dxf>
              <font>
                <b/>
                <i val="0"/>
                <color rgb="FFFF0000"/>
              </font>
            </x14:dxf>
          </x14:cfRule>
          <xm:sqref>C9:C11</xm:sqref>
        </x14:conditionalFormatting>
        <x14:conditionalFormatting xmlns:xm="http://schemas.microsoft.com/office/excel/2006/main">
          <x14:cfRule type="expression" priority="4225" id="{3C5518BB-B828-48D7-A995-C8B270E7082C}">
            <xm:f>'TC1'!$B10="Speak"</xm:f>
            <x14:dxf>
              <font>
                <b/>
                <i val="0"/>
                <color rgb="FFFF0000"/>
              </font>
            </x14:dxf>
          </x14:cfRule>
          <xm:sqref>C9:C11</xm:sqref>
        </x14:conditionalFormatting>
        <x14:conditionalFormatting xmlns:xm="http://schemas.microsoft.com/office/excel/2006/main">
          <x14:cfRule type="expression" priority="4" id="{C31D81FD-2CF4-44DC-A2A4-6E154AD57F29}">
            <xm:f>'\Users\deannah\Wyndham Testing\[Wyndham Destinations_TestCaseOverview_V3_Template.xlsx]TC1'!#REF!="HANGUP"</xm:f>
            <x14:dxf>
              <font>
                <b/>
                <i val="0"/>
              </font>
            </x14:dxf>
          </x14:cfRule>
          <x14:cfRule type="expression" priority="5" id="{AA264222-4407-448E-8B91-09AF96B4FD06}">
            <xm:f>'\Users\deannah\Wyndham Testing\[Wyndham Destinations_TestCaseOverview_V3_Template.xlsx]TC1'!#REF!="Dial"</xm:f>
            <x14:dxf>
              <font>
                <b/>
                <i val="0"/>
                <color rgb="FFFF0000"/>
              </font>
            </x14:dxf>
          </x14:cfRule>
          <xm:sqref>C12</xm:sqref>
        </x14:conditionalFormatting>
        <x14:conditionalFormatting xmlns:xm="http://schemas.microsoft.com/office/excel/2006/main">
          <x14:cfRule type="expression" priority="6" id="{44EB9330-6081-4C72-A8D0-E863746313BB}">
            <xm:f>'\Users\deannah\Wyndham Testing\[Wyndham Destinations_TestCaseOverview_V3_Template.xlsx]TC1'!#REF!="Speak"</xm:f>
            <x14:dxf>
              <font>
                <b/>
                <i val="0"/>
                <color rgb="FFFF0000"/>
              </font>
            </x14:dxf>
          </x14:cfRule>
          <xm:sqref>C12</xm:sqref>
        </x14:conditionalFormatting>
        <x14:conditionalFormatting xmlns:xm="http://schemas.microsoft.com/office/excel/2006/main">
          <x14:cfRule type="expression" priority="1" id="{0A037631-5138-45FD-9EBC-DFE24D297B74}">
            <xm:f>'\Users\deannah\Wyndham Testing\[Wyndham Destinations_TestCaseOverview_V3_Template.xlsx]TC1'!#REF!="HANGUP"</xm:f>
            <x14:dxf>
              <font>
                <b/>
                <i val="0"/>
              </font>
            </x14:dxf>
          </x14:cfRule>
          <x14:cfRule type="expression" priority="2" id="{61DDA090-6D71-4C3B-A002-2B660D26DE40}">
            <xm:f>'\Users\deannah\Wyndham Testing\[Wyndham Destinations_TestCaseOverview_V3_Template.xlsx]TC1'!#REF!="Dial"</xm:f>
            <x14:dxf>
              <font>
                <b/>
                <i val="0"/>
                <color rgb="FFFF0000"/>
              </font>
            </x14:dxf>
          </x14:cfRule>
          <xm:sqref>C17</xm:sqref>
        </x14:conditionalFormatting>
        <x14:conditionalFormatting xmlns:xm="http://schemas.microsoft.com/office/excel/2006/main">
          <x14:cfRule type="expression" priority="3" id="{80065BF2-1A8A-4D70-8DAB-83D2DB328A3E}">
            <xm:f>'\Users\deannah\Wyndham Testing\[Wyndham Destinations_TestCaseOverview_V3_Template.xlsx]TC1'!#REF!="Speak"</xm:f>
            <x14:dxf>
              <font>
                <b/>
                <i val="0"/>
                <color rgb="FFFF0000"/>
              </font>
            </x14:dxf>
          </x14:cfRule>
          <xm:sqref>C17</xm:sqref>
        </x14:conditionalFormatting>
      </x14:conditionalFormattings>
    </ext>
  </extLst>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sheetPr codeName="Sheet110"/>
  <dimension ref="A1:E27"/>
  <sheetViews>
    <sheetView zoomScaleNormal="100" workbookViewId="0">
      <selection activeCell="D9" sqref="D9:D13"/>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TC108</v>
      </c>
      <c r="C2" s="94"/>
      <c r="D2" s="107"/>
      <c r="E2" s="93"/>
    </row>
    <row r="3" spans="1:5">
      <c r="A3" s="100" t="s">
        <v>19</v>
      </c>
      <c r="B3" s="108">
        <f ca="1">VLOOKUP(B2,Table1[#All],2,FALSE)</f>
        <v>0</v>
      </c>
      <c r="C3" s="94"/>
      <c r="D3" s="107"/>
      <c r="E3" s="93"/>
    </row>
    <row r="4" spans="1:5" ht="30">
      <c r="A4" s="109" t="s">
        <v>20</v>
      </c>
      <c r="B4" s="95" t="str">
        <f ca="1">VLOOKUP(B2,Table1[#All],4,FALSE)</f>
        <v>3 or less contracts, Autopay active, has current amt due</v>
      </c>
      <c r="C4" s="94"/>
      <c r="D4" s="107"/>
      <c r="E4" s="93"/>
    </row>
    <row r="5" spans="1:5" ht="60">
      <c r="A5" s="100" t="s">
        <v>6</v>
      </c>
      <c r="B5" s="75" t="str">
        <f ca="1">VLOOKUP(B2,Table1[#All],3,FALSE)</f>
        <v>CallStart Main Menu/Pmts/check status/ serviceType=check Status/ID Auth/ID Auth True,Finance Exception code=else/peg 450 no input/no match/Xfer</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str">
        <f>VLOOKUP(Table257519913140103[[#This Row],[PEG]],Table1016[#All],2,FALSE)</f>
        <v>CallID.wav Call ID &lt;CallID&gt;</v>
      </c>
      <c r="D9" s="149" t="s">
        <v>477</v>
      </c>
      <c r="E9" s="122" t="str">
        <f>VLOOKUP(Table257519913140103[[#This Row],[PEG]],Table1016[#All],3,FALSE)</f>
        <v>TEST</v>
      </c>
    </row>
    <row r="10" spans="1:5" ht="30">
      <c r="A10" s="114">
        <v>3</v>
      </c>
      <c r="B10" s="110" t="s">
        <v>115</v>
      </c>
      <c r="C10" s="105" t="str">
        <f>VLOOKUP(Table257519913140103[[#This Row],[PEG]],Table1016[#All],2,FALSE)</f>
        <v>0100.wav Thank you for calling Shell vacations Club, we are glad you called. Please have your account number available for faster service. [To continue in Spanish, press 9]</v>
      </c>
      <c r="D10" s="149">
        <v>100</v>
      </c>
      <c r="E10" s="122" t="str">
        <f>VLOOKUP(Table257519913140103[[#This Row],[PEG]],Table1016[#All],3,FALSE)</f>
        <v>PLAY PROMPT</v>
      </c>
    </row>
    <row r="11" spans="1:5" ht="30">
      <c r="A11" s="114">
        <v>4</v>
      </c>
      <c r="B11" s="110" t="s">
        <v>115</v>
      </c>
      <c r="C11" s="105" t="str">
        <f>VLOOKUP(Table257519913140103[[#This Row],[PEG]],Table1016[#All],2,FALSE)</f>
        <v>0110-1.wav Which would you like? You can say... reservations, payments &amp; statements, title &amp; ownership changes, or more options.</v>
      </c>
      <c r="D11" s="149">
        <v>110</v>
      </c>
      <c r="E11" s="122" t="str">
        <f>VLOOKUP(Table257519913140103[[#This Row],[PEG]],Table1016[#All],3,FALSE)</f>
        <v>MENU PROMPT</v>
      </c>
    </row>
    <row r="12" spans="1:5">
      <c r="A12" s="114">
        <v>5</v>
      </c>
      <c r="B12" s="110" t="s">
        <v>124</v>
      </c>
      <c r="C12" s="105" t="e">
        <f>VLOOKUP(Table257519913140103[[#This Row],[PEG]],Table1016[#All],2,FALSE)</f>
        <v>#N/A</v>
      </c>
      <c r="D12" s="149"/>
      <c r="E12" s="122" t="e">
        <f>VLOOKUP(Table257519913140103[[#This Row],[PEG]],Table1016[#All],3,FALSE)</f>
        <v>#N/A</v>
      </c>
    </row>
    <row r="13" spans="1:5" ht="30">
      <c r="A13" s="114">
        <v>6</v>
      </c>
      <c r="B13" s="110" t="s">
        <v>115</v>
      </c>
      <c r="C13" s="105" t="str">
        <f>VLOOKUP(Table257519913140103[[#This Row],[PEG]],Table1016[#All],2,FALSE)</f>
        <v>400.wav You can say make a payment, check account status, request a document, or more options. Which would you like?</v>
      </c>
      <c r="D13" s="149">
        <v>400</v>
      </c>
      <c r="E13" s="122" t="str">
        <f>VLOOKUP(Table257519913140103[[#This Row],[PEG]],Table1016[#All],3,FALSE)</f>
        <v>MENU PROMPT</v>
      </c>
    </row>
    <row r="14" spans="1:5">
      <c r="A14" s="114">
        <v>7</v>
      </c>
      <c r="B14" s="110" t="s">
        <v>124</v>
      </c>
      <c r="C14" s="105" t="e">
        <f>VLOOKUP(Table257519913140103[[#This Row],[PEG]],Table1016[#All],2,FALSE)</f>
        <v>#N/A</v>
      </c>
      <c r="D14" s="125"/>
      <c r="E14" s="122" t="e">
        <f>VLOOKUP(Table257519913140103[[#This Row],[PEG]],Table1016[#All],3,FALSE)</f>
        <v>#N/A</v>
      </c>
    </row>
    <row r="15" spans="1:5">
      <c r="A15" s="114">
        <v>8</v>
      </c>
      <c r="B15" s="110" t="s">
        <v>115</v>
      </c>
      <c r="C15" s="105" t="str">
        <f>VLOOKUP(Table257519913140103[[#This Row],[PEG]],Table1016[#All],2,FALSE)</f>
        <v>0200-1.wav To get started, what is your account number?</v>
      </c>
      <c r="D15" s="112">
        <v>200</v>
      </c>
      <c r="E15" s="122" t="str">
        <f>VLOOKUP(Table257519913140103[[#This Row],[PEG]],Table1016[#All],3,FALSE)</f>
        <v>MENU PROMPT</v>
      </c>
    </row>
    <row r="16" spans="1:5">
      <c r="A16" s="114">
        <v>9</v>
      </c>
      <c r="B16" s="110" t="s">
        <v>114</v>
      </c>
      <c r="C16" s="151" t="s">
        <v>515</v>
      </c>
      <c r="D16" s="112"/>
      <c r="E16" s="122" t="e">
        <f>VLOOKUP(Table257519913140103[[#This Row],[PEG]],Table1016[#All],3,FALSE)</f>
        <v>#N/A</v>
      </c>
    </row>
    <row r="17" spans="1:5">
      <c r="A17" s="114">
        <v>10</v>
      </c>
      <c r="B17" s="110" t="s">
        <v>12</v>
      </c>
      <c r="C17" s="105" t="str">
        <f>VLOOKUP(Table257519913140103[[#This Row],[PEG]],Table1016[#All],2,FALSE)</f>
        <v>0210-1.wav And the date of birth for the primary owner?</v>
      </c>
      <c r="D17" s="113">
        <v>210</v>
      </c>
      <c r="E17" s="122" t="str">
        <f>VLOOKUP(Table257519913140103[[#This Row],[PEG]],Table1016[#All],3,FALSE)</f>
        <v>MENU PROMPT</v>
      </c>
    </row>
    <row r="18" spans="1:5">
      <c r="A18" s="114">
        <v>11</v>
      </c>
      <c r="B18" s="110" t="s">
        <v>124</v>
      </c>
      <c r="C18" s="151" t="s">
        <v>614</v>
      </c>
      <c r="D18" s="113"/>
      <c r="E18" s="122" t="e">
        <f>VLOOKUP(Table257519913140103[[#This Row],[PEG]],Table1016[#All],3,FALSE)</f>
        <v>#N/A</v>
      </c>
    </row>
    <row r="19" spans="1:5" ht="30">
      <c r="A19" s="114">
        <v>12</v>
      </c>
      <c r="B19" s="110" t="s">
        <v>115</v>
      </c>
      <c r="C19" s="105" t="str">
        <f>VLOOKUP(Table257519913140103[[#This Row],[PEG]],Table1016[#All],2,FALSE)</f>
        <v>0450-1.wav Your current amount due is [amount] which includes a loan payment of [amount] for contract number(s) [xxxxxxxxxx] and an assessment balance of [amount]. Would you like to make a payment today?</v>
      </c>
      <c r="D19" s="113">
        <v>450</v>
      </c>
      <c r="E19" s="122" t="str">
        <f>VLOOKUP(Table257519913140103[[#This Row],[PEG]],Table1016[#All],3,FALSE)</f>
        <v>MENU PROMPT</v>
      </c>
    </row>
    <row r="20" spans="1:5">
      <c r="A20" s="114">
        <v>13</v>
      </c>
      <c r="B20" s="110" t="s">
        <v>12</v>
      </c>
      <c r="C20" s="151" t="s">
        <v>607</v>
      </c>
      <c r="D20" s="113"/>
      <c r="E20" s="122" t="e">
        <f>VLOOKUP(Table257519913140103[[#This Row],[PEG]],Table1016[#All],3,FALSE)</f>
        <v>#N/A</v>
      </c>
    </row>
    <row r="21" spans="1:5">
      <c r="A21" s="114">
        <v>14</v>
      </c>
      <c r="B21" s="110" t="s">
        <v>115</v>
      </c>
      <c r="C21" s="105" t="str">
        <f>VLOOKUP(Table257519913140103[[#This Row],[PEG]],Table1016[#All],2,FALSE)</f>
        <v>Sorry.</v>
      </c>
      <c r="D21" s="113" t="s">
        <v>295</v>
      </c>
      <c r="E21" s="122" t="str">
        <f>VLOOKUP(Table257519913140103[[#This Row],[PEG]],Table1016[#All],3,FALSE)</f>
        <v>PLAY PROMPT</v>
      </c>
    </row>
    <row r="22" spans="1:5" ht="30">
      <c r="A22" s="114">
        <v>15</v>
      </c>
      <c r="B22" s="110" t="s">
        <v>115</v>
      </c>
      <c r="C22" s="105" t="str">
        <f>VLOOKUP(Table257519913140103[[#This Row],[PEG]],Table1016[#All],2,FALSE)</f>
        <v>0450PaymentToday.wav Would you like to make a payment today? Press 1 for yes or 2 for no. To speak to a representative, press 0</v>
      </c>
      <c r="D22" s="113" t="s">
        <v>385</v>
      </c>
      <c r="E22" s="122" t="str">
        <f>VLOOKUP(Table257519913140103[[#This Row],[PEG]],Table1016[#All],3,FALSE)</f>
        <v>MENU PROMPT</v>
      </c>
    </row>
    <row r="23" spans="1:5">
      <c r="A23" s="114">
        <v>16</v>
      </c>
      <c r="B23" s="110" t="s">
        <v>114</v>
      </c>
      <c r="C23" s="151" t="s">
        <v>1</v>
      </c>
      <c r="D23" s="113"/>
      <c r="E23" s="122" t="e">
        <f>VLOOKUP(Table257519913140103[[#This Row],[PEG]],Table1016[#All],3,FALSE)</f>
        <v>#N/A</v>
      </c>
    </row>
    <row r="24" spans="1:5">
      <c r="A24" s="114">
        <v>17</v>
      </c>
      <c r="B24" s="110" t="s">
        <v>115</v>
      </c>
      <c r="C24" s="105" t="str">
        <f>VLOOKUP(Table257519913140103[[#This Row],[PEG]],Table1016[#All],2,FALSE)</f>
        <v>Sorry, I'm having trouble</v>
      </c>
      <c r="D24" s="113" t="s">
        <v>297</v>
      </c>
      <c r="E24" s="122" t="str">
        <f>VLOOKUP(Table257519913140103[[#This Row],[PEG]],Table1016[#All],3,FALSE)</f>
        <v>PLAY PROMPT</v>
      </c>
    </row>
    <row r="25" spans="1:5">
      <c r="A25" s="114">
        <v>18</v>
      </c>
      <c r="B25" s="110" t="s">
        <v>12</v>
      </c>
      <c r="C25" s="105" t="str">
        <f>VLOOKUP(Table257519913140103[[#This Row],[PEG]],Table1016[#All],2,FALSE)</f>
        <v>0900.wav Please hold, while I connect you to a customer service representative.</v>
      </c>
      <c r="D25" s="113">
        <v>900</v>
      </c>
      <c r="E25" s="122" t="str">
        <f>VLOOKUP(Table257519913140103[[#This Row],[PEG]],Table1016[#All],3,FALSE)</f>
        <v>PLAY PROMPT</v>
      </c>
    </row>
    <row r="26" spans="1:5">
      <c r="A26" s="114">
        <v>19</v>
      </c>
      <c r="B26" s="110" t="s">
        <v>12</v>
      </c>
      <c r="C26" s="105" t="str">
        <f>VLOOKUP(Table257519913140103[[#This Row],[PEG]],Table1016[#All],2,FALSE)</f>
        <v>XferNbr.wav Transfer Number &lt;TransferNbr&gt;</v>
      </c>
      <c r="D26" s="113" t="s">
        <v>480</v>
      </c>
      <c r="E26" s="122" t="str">
        <f>VLOOKUP(Table257519913140103[[#This Row],[PEG]],Table1016[#All],3,FALSE)</f>
        <v>TEST</v>
      </c>
    </row>
    <row r="27" spans="1:5">
      <c r="A27" s="114">
        <v>20</v>
      </c>
      <c r="B27" s="110" t="s">
        <v>13</v>
      </c>
      <c r="C27" s="17" t="s">
        <v>13</v>
      </c>
      <c r="D27" s="113"/>
      <c r="E27" s="122" t="e">
        <f>VLOOKUP(Table257519913140103[[#This Row],[PEG]],Table1016[#All],3,FALSE)</f>
        <v>#N/A</v>
      </c>
    </row>
  </sheetData>
  <mergeCells count="1">
    <mergeCell ref="A1:B1"/>
  </mergeCells>
  <conditionalFormatting sqref="B8">
    <cfRule type="containsText" dxfId="2806" priority="15" operator="containsText" text="Hear">
      <formula>NOT(ISERROR(SEARCH("Hear",B8)))</formula>
    </cfRule>
  </conditionalFormatting>
  <conditionalFormatting sqref="B27">
    <cfRule type="containsText" dxfId="2805" priority="5" operator="containsText" text="Hear">
      <formula>NOT(ISERROR(SEARCH("Hear",B27)))</formula>
    </cfRule>
  </conditionalFormatting>
  <conditionalFormatting sqref="B9:B18">
    <cfRule type="containsText" dxfId="2804" priority="4" operator="containsText" text="Hear">
      <formula>NOT(ISERROR(SEARCH("Hear",B9)))</formula>
    </cfRule>
  </conditionalFormatting>
  <conditionalFormatting sqref="B19:B26">
    <cfRule type="containsText" dxfId="2803" priority="6" operator="containsText" text="Hear">
      <formula>NOT(ISERROR(SEARCH("Hear",B19)))</formula>
    </cfRule>
  </conditionalFormatting>
  <conditionalFormatting sqref="C27">
    <cfRule type="expression" dxfId="2802" priority="1">
      <formula>$B27="Dial"</formula>
    </cfRule>
    <cfRule type="expression" dxfId="2801" priority="3">
      <formula>$B27="HANGUP"</formula>
    </cfRule>
  </conditionalFormatting>
  <conditionalFormatting sqref="C27">
    <cfRule type="expression" dxfId="2800" priority="2">
      <formula>$B27="Speak"</formula>
    </cfRule>
  </conditionalFormatting>
  <hyperlinks>
    <hyperlink ref="A1" location="'Test Case Overview'!A1" display="Return to Test Case Overview" xr:uid="{00000000-0004-0000-6C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6" id="{423B8913-7136-4447-8301-67E59485398C}">
            <xm:f>'TC1'!$B8="Dial"</xm:f>
            <x14:dxf>
              <font>
                <b/>
                <i val="0"/>
                <color rgb="FFFF0000"/>
              </font>
            </x14:dxf>
          </x14:cfRule>
          <x14:cfRule type="expression" priority="32" id="{C948589A-6055-4406-8AAB-C2268A8D0C3D}">
            <xm:f>'TC1'!$B8="HANGUP"</xm:f>
            <x14:dxf>
              <font>
                <b/>
                <i val="0"/>
              </font>
            </x14:dxf>
          </x14:cfRule>
          <xm:sqref>C8</xm:sqref>
        </x14:conditionalFormatting>
        <x14:conditionalFormatting xmlns:xm="http://schemas.microsoft.com/office/excel/2006/main">
          <x14:cfRule type="expression" priority="33" id="{244E13D7-16C4-4F4A-90CA-234E1BEC259A}">
            <xm:f>'TC1'!$B8="Speak"</xm:f>
            <x14:dxf>
              <font>
                <b/>
                <i val="0"/>
                <color rgb="FFFF0000"/>
              </font>
            </x14:dxf>
          </x14:cfRule>
          <xm:sqref>C8</xm:sqref>
        </x14:conditionalFormatting>
        <x14:conditionalFormatting xmlns:xm="http://schemas.microsoft.com/office/excel/2006/main">
          <x14:cfRule type="containsText" priority="34" operator="containsText" text="DB" id="{865CD895-3E5C-49FA-AAE4-01DEE3C7415F}">
            <xm:f>NOT(ISERROR(SEARCH("DB",'TC1'!E10)))</xm:f>
            <x14:dxf>
              <font>
                <color rgb="FF006100"/>
              </font>
              <fill>
                <patternFill>
                  <bgColor rgb="FFC6EFCE"/>
                </patternFill>
              </fill>
            </x14:dxf>
          </x14:cfRule>
          <x14:cfRule type="containsText" priority="34" operator="containsText" text="WEB SERVICE" id="{321DC2B0-DF71-418A-8CEA-09B04EBCB1C4}">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2442" id="{423B8913-7136-4447-8301-67E59485398C}">
            <xm:f>'TC1'!#REF!="Dial"</xm:f>
            <x14:dxf>
              <font>
                <b/>
                <i val="0"/>
                <color rgb="FFFF0000"/>
              </font>
            </x14:dxf>
          </x14:cfRule>
          <x14:cfRule type="expression" priority="2443" id="{C948589A-6055-4406-8AAB-C2268A8D0C3D}">
            <xm:f>'TC1'!#REF!="HANGUP"</xm:f>
            <x14:dxf>
              <font>
                <b/>
                <i val="0"/>
              </font>
            </x14:dxf>
          </x14:cfRule>
          <xm:sqref>C13:C15 C17 C19:C26</xm:sqref>
        </x14:conditionalFormatting>
        <x14:conditionalFormatting xmlns:xm="http://schemas.microsoft.com/office/excel/2006/main">
          <x14:cfRule type="expression" priority="2448" id="{244E13D7-16C4-4F4A-90CA-234E1BEC259A}">
            <xm:f>'TC1'!#REF!="Speak"</xm:f>
            <x14:dxf>
              <font>
                <b/>
                <i val="0"/>
                <color rgb="FFFF0000"/>
              </font>
            </x14:dxf>
          </x14:cfRule>
          <xm:sqref>C13:C15 C17 C19:C26</xm:sqref>
        </x14:conditionalFormatting>
        <x14:conditionalFormatting xmlns:xm="http://schemas.microsoft.com/office/excel/2006/main">
          <x14:cfRule type="containsText" priority="2454" operator="containsText" text="DB" id="{865CD895-3E5C-49FA-AAE4-01DEE3C7415F}">
            <xm:f>NOT(ISERROR(SEARCH("DB",'TC1'!#REF!)))</xm:f>
            <x14:dxf>
              <font>
                <color rgb="FF006100"/>
              </font>
              <fill>
                <patternFill>
                  <bgColor rgb="FFC6EFCE"/>
                </patternFill>
              </fill>
            </x14:dxf>
          </x14:cfRule>
          <x14:cfRule type="containsText" priority="2455" operator="containsText" text="WEB SERVICE" id="{321DC2B0-DF71-418A-8CEA-09B04EBCB1C4}">
            <xm:f>NOT(ISERROR(SEARCH("WEB SERVICE",'TC1'!#REF!)))</xm:f>
            <x14:dxf>
              <font>
                <color rgb="FF9C0006"/>
              </font>
              <fill>
                <patternFill>
                  <bgColor rgb="FFFFC7CE"/>
                </patternFill>
              </fill>
            </x14:dxf>
          </x14:cfRule>
          <xm:sqref>E13:E27</xm:sqref>
        </x14:conditionalFormatting>
        <x14:conditionalFormatting xmlns:xm="http://schemas.microsoft.com/office/excel/2006/main">
          <x14:cfRule type="expression" priority="4236" id="{423B8913-7136-4447-8301-67E59485398C}">
            <xm:f>'TC1'!$B10="Dial"</xm:f>
            <x14:dxf>
              <font>
                <b/>
                <i val="0"/>
                <color rgb="FFFF0000"/>
              </font>
            </x14:dxf>
          </x14:cfRule>
          <x14:cfRule type="expression" priority="4237" id="{C948589A-6055-4406-8AAB-C2268A8D0C3D}">
            <xm:f>'TC1'!$B10="HANGUP"</xm:f>
            <x14:dxf>
              <font>
                <b/>
                <i val="0"/>
              </font>
            </x14:dxf>
          </x14:cfRule>
          <xm:sqref>C9:C12</xm:sqref>
        </x14:conditionalFormatting>
        <x14:conditionalFormatting xmlns:xm="http://schemas.microsoft.com/office/excel/2006/main">
          <x14:cfRule type="expression" priority="4239" id="{244E13D7-16C4-4F4A-90CA-234E1BEC259A}">
            <xm:f>'TC1'!$B10="Speak"</xm:f>
            <x14:dxf>
              <font>
                <b/>
                <i val="0"/>
                <color rgb="FFFF0000"/>
              </font>
            </x14:dxf>
          </x14:cfRule>
          <xm:sqref>C9:C12</xm:sqref>
        </x14:conditionalFormatting>
        <x14:conditionalFormatting xmlns:xm="http://schemas.microsoft.com/office/excel/2006/main">
          <x14:cfRule type="expression" priority="10" id="{39BFBAA1-AAF8-4973-8F82-EFE77A0CC161}">
            <xm:f>'\Users\deannah\Wyndham Testing\[Wyndham Destinations_TestCaseOverview_V3_Template.xlsx]TC1'!#REF!="HANGUP"</xm:f>
            <x14:dxf>
              <font>
                <b/>
                <i val="0"/>
              </font>
            </x14:dxf>
          </x14:cfRule>
          <x14:cfRule type="expression" priority="11" id="{2405B410-344E-49F2-AD30-62BE02FF4EEE}">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12" id="{BFA881BA-F2A6-4965-842F-078B2BAC02E6}">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7" id="{C9B9CC76-8C34-46CF-8447-5C52E0266F4B}">
            <xm:f>'\Users\deannah\Wyndham Testing\[Wyndham Destinations_TestCaseOverview_V3_Template.xlsx]TC1'!#REF!="HANGUP"</xm:f>
            <x14:dxf>
              <font>
                <b/>
                <i val="0"/>
              </font>
            </x14:dxf>
          </x14:cfRule>
          <x14:cfRule type="expression" priority="8" id="{599FDCD3-7CAD-42A1-8AB7-DF28215CB275}">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9" id="{66F00FC2-B238-4182-93CC-FD4FC9BFDF1F}">
            <xm:f>'\Users\deannah\Wyndham Testing\[Wyndham Destinations_TestCaseOverview_V3_Template.xlsx]TC1'!#REF!="Speak"</xm:f>
            <x14:dxf>
              <font>
                <b/>
                <i val="0"/>
                <color rgb="FFFF0000"/>
              </font>
            </x14:dxf>
          </x14:cfRule>
          <xm:sqref>C18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E43"/>
  <sheetViews>
    <sheetView zoomScaleNormal="100" workbookViewId="0">
      <selection activeCell="C14" sqref="C14"/>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TC10</v>
      </c>
    </row>
    <row r="3" spans="1:5">
      <c r="A3" s="100" t="s">
        <v>19</v>
      </c>
      <c r="B3" s="108">
        <f ca="1">VLOOKUP(B2,Table1[#All],2,FALSE)</f>
        <v>0</v>
      </c>
    </row>
    <row r="4" spans="1:5" ht="30">
      <c r="A4" s="109" t="s">
        <v>20</v>
      </c>
      <c r="B4" s="95" t="str">
        <f ca="1">VLOOKUP(B2,Table1[#All],4,FALSE)</f>
        <v>svcArea=titleSvcs, serviceType=somethingElse</v>
      </c>
    </row>
    <row r="5" spans="1:5" ht="30">
      <c r="A5" s="100" t="s">
        <v>6</v>
      </c>
      <c r="B5" s="89" t="str">
        <f ca="1">VLOOKUP(B2,Table1[#All],3,FALSE)</f>
        <v>CallStart MM/title/something else/ IDAuth=NotTrue IDAuthRetry=True Xfer</v>
      </c>
    </row>
    <row r="7" spans="1:5" ht="15.75">
      <c r="A7" s="96" t="s">
        <v>7</v>
      </c>
      <c r="B7" s="97" t="s">
        <v>8</v>
      </c>
      <c r="C7" s="98" t="s">
        <v>9</v>
      </c>
      <c r="D7" s="98" t="s">
        <v>14</v>
      </c>
      <c r="E7" s="99" t="s">
        <v>10</v>
      </c>
    </row>
    <row r="8" spans="1:5">
      <c r="A8" s="114">
        <v>1</v>
      </c>
      <c r="B8" s="110" t="s">
        <v>114</v>
      </c>
      <c r="C8" s="124" t="s">
        <v>484</v>
      </c>
      <c r="D8" s="125"/>
      <c r="E8" s="122" t="s">
        <v>11</v>
      </c>
    </row>
    <row r="9" spans="1:5">
      <c r="A9" s="114">
        <v>2</v>
      </c>
      <c r="B9" s="110" t="s">
        <v>115</v>
      </c>
      <c r="C9" s="105" t="str">
        <f>VLOOKUP(Table25755252691024[[#This Row],[PEG]],Table1016[#All],2,FALSE)</f>
        <v>CallID.wav Call ID &lt;CallID&gt;</v>
      </c>
      <c r="D9" s="149" t="s">
        <v>482</v>
      </c>
      <c r="E9" s="122" t="str">
        <f>VLOOKUP(Table25755252691024[[#This Row],[PEG]],Table1016[#All],3,FALSE)</f>
        <v>TEST</v>
      </c>
    </row>
    <row r="10" spans="1:5" ht="30">
      <c r="A10" s="114">
        <v>3</v>
      </c>
      <c r="B10" s="110" t="s">
        <v>115</v>
      </c>
      <c r="C10" s="105" t="str">
        <f>VLOOKUP(Table25755252691024[[#This Row],[PEG]],Table1016[#All],2,FALSE)</f>
        <v>0100.wav Thank you for calling Shell vacations Club, we are glad you called. Please have your account number available for faster service. [To continue in Spanish, press 9]</v>
      </c>
      <c r="D10" s="149">
        <v>100</v>
      </c>
      <c r="E10" s="122" t="str">
        <f>VLOOKUP(Table25755252691024[[#This Row],[PEG]],Table1016[#All],3,FALSE)</f>
        <v>PLAY PROMPT</v>
      </c>
    </row>
    <row r="11" spans="1:5" ht="30">
      <c r="A11" s="114">
        <v>4</v>
      </c>
      <c r="B11" s="110" t="s">
        <v>115</v>
      </c>
      <c r="C11" s="105" t="str">
        <f>VLOOKUP(Table25755252691024[[#This Row],[PEG]],Table1016[#All],2,FALSE)</f>
        <v>0110-1.wav Which would you like? You can say... reservations, payments &amp; statements, title &amp; ownership changes, or more options.</v>
      </c>
      <c r="D11" s="149">
        <v>110</v>
      </c>
      <c r="E11" s="122" t="str">
        <f>VLOOKUP(Table25755252691024[[#This Row],[PEG]],Table1016[#All],3,FALSE)</f>
        <v>MENU PROMPT</v>
      </c>
    </row>
    <row r="12" spans="1:5">
      <c r="A12" s="114">
        <v>5</v>
      </c>
      <c r="B12" s="110" t="s">
        <v>124</v>
      </c>
      <c r="C12" s="105" t="s">
        <v>485</v>
      </c>
      <c r="D12" s="149"/>
      <c r="E12" s="122" t="e">
        <f>VLOOKUP(Table25755252691024[[#This Row],[PEG]],Table1016[#All],3,FALSE)</f>
        <v>#N/A</v>
      </c>
    </row>
    <row r="13" spans="1:5" ht="30">
      <c r="A13" s="114">
        <v>6</v>
      </c>
      <c r="B13" s="110" t="s">
        <v>115</v>
      </c>
      <c r="C13" s="105" t="str">
        <f>VLOOKUP(Table25755252691024[[#This Row],[PEG]],Table1016[#All],2,FALSE)</f>
        <v>0300-1.wav You can say ownership changes, check status, make a payment, or help me with something else. Which would you like?</v>
      </c>
      <c r="D13" s="149">
        <v>300</v>
      </c>
      <c r="E13" s="122" t="str">
        <f>VLOOKUP(Table25755252691024[[#This Row],[PEG]],Table1016[#All],3,FALSE)</f>
        <v>MENU PROMPT</v>
      </c>
    </row>
    <row r="14" spans="1:5">
      <c r="A14" s="114">
        <v>7</v>
      </c>
      <c r="B14" s="110" t="s">
        <v>124</v>
      </c>
      <c r="C14" s="105" t="s">
        <v>630</v>
      </c>
      <c r="D14" s="125"/>
      <c r="E14" s="122" t="e">
        <f>VLOOKUP(Table25755252691024[[#This Row],[PEG]],Table1016[#All],3,FALSE)</f>
        <v>#N/A</v>
      </c>
    </row>
    <row r="15" spans="1:5">
      <c r="A15" s="114">
        <v>8</v>
      </c>
      <c r="B15" s="110" t="s">
        <v>115</v>
      </c>
      <c r="C15" s="105" t="str">
        <f>VLOOKUP(Table25755252691024[[#This Row],[PEG]],Table1016[#All],2,FALSE)</f>
        <v>0200-1.wav To get started, what is your account number?</v>
      </c>
      <c r="D15" s="112">
        <v>200</v>
      </c>
      <c r="E15" s="122" t="str">
        <f>VLOOKUP(Table25755252691024[[#This Row],[PEG]],Table1016[#All],3,FALSE)</f>
        <v>MENU PROMPT</v>
      </c>
    </row>
    <row r="16" spans="1:5">
      <c r="A16" s="114">
        <v>9</v>
      </c>
      <c r="B16" s="110" t="s">
        <v>124</v>
      </c>
      <c r="C16" s="105" t="s">
        <v>504</v>
      </c>
      <c r="D16" s="112"/>
      <c r="E16" s="122" t="e">
        <f>VLOOKUP(Table25755252691024[[#This Row],[PEG]],Table1016[#All],3,FALSE)</f>
        <v>#N/A</v>
      </c>
    </row>
    <row r="17" spans="1:5">
      <c r="A17" s="114">
        <v>10</v>
      </c>
      <c r="B17" s="110" t="s">
        <v>115</v>
      </c>
      <c r="C17" s="127" t="str">
        <f>VLOOKUP(Table25755252691024[[#This Row],[PEG]],Table1016[#All],2,FALSE)</f>
        <v>0210-1.wav And the date of birth for the primary owner?</v>
      </c>
      <c r="D17" s="113">
        <v>210</v>
      </c>
      <c r="E17" s="122" t="str">
        <f>VLOOKUP(Table25755252691024[[#This Row],[PEG]],Table1016[#All],3,FALSE)</f>
        <v>MENU PROMPT</v>
      </c>
    </row>
    <row r="18" spans="1:5">
      <c r="A18" s="114">
        <v>11</v>
      </c>
      <c r="B18" s="110" t="s">
        <v>114</v>
      </c>
      <c r="C18" s="105" t="s">
        <v>494</v>
      </c>
      <c r="D18" s="113"/>
      <c r="E18" s="122" t="e">
        <f>VLOOKUP(Table25755252691024[[#This Row],[PEG]],Table1016[#All],3,FALSE)</f>
        <v>#N/A</v>
      </c>
    </row>
    <row r="19" spans="1:5" ht="30">
      <c r="A19" s="114">
        <v>12</v>
      </c>
      <c r="B19" s="110" t="s">
        <v>115</v>
      </c>
      <c r="C19" s="150" t="str">
        <f>VLOOKUP(Table25755252691024[[#This Row],[PEG]],Table1016[#All],2,FALSE)</f>
        <v>0220.wav I couldn't find an account matching the information you provided. Let's try one more time. What is your account number?</v>
      </c>
      <c r="D19" s="113">
        <v>220</v>
      </c>
      <c r="E19" s="122" t="str">
        <f>VLOOKUP(Table25755252691024[[#This Row],[PEG]],Table1016[#All],3,FALSE)</f>
        <v>MENU PROMPT</v>
      </c>
    </row>
    <row r="20" spans="1:5">
      <c r="A20" s="114">
        <v>13</v>
      </c>
      <c r="B20" s="110" t="s">
        <v>124</v>
      </c>
      <c r="C20" s="105" t="s">
        <v>505</v>
      </c>
      <c r="D20" s="113"/>
      <c r="E20" s="122" t="e">
        <f>VLOOKUP(Table25755252691024[[#This Row],[PEG]],Table1016[#All],3,FALSE)</f>
        <v>#N/A</v>
      </c>
    </row>
    <row r="21" spans="1:5">
      <c r="A21" s="114">
        <v>14</v>
      </c>
      <c r="B21" s="110" t="s">
        <v>115</v>
      </c>
      <c r="C21" s="105" t="str">
        <f>VLOOKUP(Table25755252691024[[#This Row],[PEG]],Table1016[#All],2,FALSE)</f>
        <v>0210-1.wav And the date of birth for the primary owner?</v>
      </c>
      <c r="D21" s="113">
        <v>210</v>
      </c>
      <c r="E21" s="122" t="str">
        <f>VLOOKUP(Table25755252691024[[#This Row],[PEG]],Table1016[#All],3,FALSE)</f>
        <v>MENU PROMPT</v>
      </c>
    </row>
    <row r="22" spans="1:5">
      <c r="A22" s="114">
        <v>15</v>
      </c>
      <c r="B22" s="110" t="s">
        <v>124</v>
      </c>
      <c r="C22" s="105" t="s">
        <v>511</v>
      </c>
      <c r="D22" s="113"/>
      <c r="E22" s="122" t="e">
        <f>VLOOKUP(Table25755252691024[[#This Row],[PEG]],Table1016[#All],3,FALSE)</f>
        <v>#N/A</v>
      </c>
    </row>
    <row r="23" spans="1:5" s="93" customFormat="1">
      <c r="A23" s="114">
        <v>16</v>
      </c>
      <c r="B23" s="110" t="s">
        <v>115</v>
      </c>
      <c r="C23" s="105" t="str">
        <f>VLOOKUP(Table25755252691024[[#This Row],[PEG]],Table1016[#All],2,FALSE)</f>
        <v>0900.wav Please hold, while I connect you to a customer service representative.</v>
      </c>
      <c r="D23" s="113">
        <v>900</v>
      </c>
      <c r="E23" s="122" t="str">
        <f>VLOOKUP(Table25755252691024[[#This Row],[PEG]],Table1016[#All],3,FALSE)</f>
        <v>PLAY PROMPT</v>
      </c>
    </row>
    <row r="24" spans="1:5" s="93" customFormat="1">
      <c r="A24" s="114">
        <v>17</v>
      </c>
      <c r="B24" s="110" t="s">
        <v>115</v>
      </c>
      <c r="C24" s="105" t="str">
        <f>VLOOKUP(Table25755252691024[[#This Row],[PEG]],Table1016[#All],2,FALSE)</f>
        <v>XferNbr.wav Transfer Number &lt;TransferNbr&gt;</v>
      </c>
      <c r="D24" s="113" t="s">
        <v>480</v>
      </c>
      <c r="E24" s="122" t="str">
        <f>VLOOKUP(Table25755252691024[[#This Row],[PEG]],Table1016[#All],3,FALSE)</f>
        <v>TEST</v>
      </c>
    </row>
    <row r="25" spans="1:5">
      <c r="A25" s="114">
        <v>18</v>
      </c>
      <c r="B25" s="110" t="s">
        <v>13</v>
      </c>
      <c r="C25" s="105" t="s">
        <v>13</v>
      </c>
      <c r="D25" s="111"/>
      <c r="E25" s="31"/>
    </row>
    <row r="26" spans="1:5">
      <c r="C26" s="25"/>
      <c r="D26" s="107" t="s">
        <v>0</v>
      </c>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5"/>
    </row>
    <row r="39" spans="3:3">
      <c r="C39" s="25"/>
    </row>
    <row r="40" spans="3:3">
      <c r="C40" s="25"/>
    </row>
    <row r="41" spans="3:3">
      <c r="C41" s="26"/>
    </row>
    <row r="42" spans="3:3">
      <c r="C42" s="26"/>
    </row>
    <row r="43" spans="3:3">
      <c r="C43" s="26"/>
    </row>
  </sheetData>
  <mergeCells count="1">
    <mergeCell ref="A1:B1"/>
  </mergeCells>
  <conditionalFormatting sqref="E25">
    <cfRule type="containsText" dxfId="6451" priority="46" operator="containsText" text="WEB SERVICE">
      <formula>NOT(ISERROR(SEARCH("WEB SERVICE",E25)))</formula>
    </cfRule>
    <cfRule type="containsText" dxfId="6450" priority="47" operator="containsText" text="DB">
      <formula>NOT(ISERROR(SEARCH("DB",E25)))</formula>
    </cfRule>
  </conditionalFormatting>
  <conditionalFormatting sqref="C23:C9982">
    <cfRule type="expression" dxfId="6449" priority="49">
      <formula>$B23="Dial"</formula>
    </cfRule>
    <cfRule type="expression" dxfId="6448" priority="51">
      <formula>$B23="HANGUP"</formula>
    </cfRule>
  </conditionalFormatting>
  <conditionalFormatting sqref="C19">
    <cfRule type="expression" dxfId="6447" priority="18">
      <formula>$B19="Dial"</formula>
    </cfRule>
    <cfRule type="expression" dxfId="6446" priority="19">
      <formula>$B19="HANGUP"</formula>
    </cfRule>
  </conditionalFormatting>
  <conditionalFormatting sqref="B8:B25">
    <cfRule type="containsText" dxfId="6445" priority="22" operator="containsText" text="Hear">
      <formula>NOT(ISERROR(SEARCH("Hear",B8)))</formula>
    </cfRule>
  </conditionalFormatting>
  <conditionalFormatting sqref="C9:C15 C21">
    <cfRule type="expression" dxfId="6444" priority="23">
      <formula>$B9="Dial"</formula>
    </cfRule>
    <cfRule type="expression" dxfId="6443" priority="25">
      <formula>$B9="HANGUP"</formula>
    </cfRule>
  </conditionalFormatting>
  <conditionalFormatting sqref="C9:C15 C21 C23:C25">
    <cfRule type="expression" dxfId="6442" priority="24">
      <formula>$B9="Speak"</formula>
    </cfRule>
  </conditionalFormatting>
  <conditionalFormatting sqref="C17">
    <cfRule type="expression" dxfId="6441" priority="20">
      <formula>$B17="Dial"</formula>
    </cfRule>
    <cfRule type="expression" dxfId="6440" priority="21">
      <formula>$B17="HANGUP"</formula>
    </cfRule>
  </conditionalFormatting>
  <conditionalFormatting sqref="C8">
    <cfRule type="expression" dxfId="6439" priority="16">
      <formula>$B8="Dial"</formula>
    </cfRule>
    <cfRule type="expression" dxfId="6438" priority="17">
      <formula>$B8="HANGUP"</formula>
    </cfRule>
  </conditionalFormatting>
  <conditionalFormatting sqref="C16">
    <cfRule type="expression" dxfId="6437" priority="13">
      <formula>$B16="Dial"</formula>
    </cfRule>
    <cfRule type="expression" dxfId="6436" priority="15">
      <formula>$B16="HANGUP"</formula>
    </cfRule>
  </conditionalFormatting>
  <conditionalFormatting sqref="C16">
    <cfRule type="expression" dxfId="6435" priority="14">
      <formula>$B16="Speak"</formula>
    </cfRule>
  </conditionalFormatting>
  <conditionalFormatting sqref="C20">
    <cfRule type="expression" dxfId="6434" priority="7">
      <formula>$B20="Dial"</formula>
    </cfRule>
    <cfRule type="expression" dxfId="6433" priority="9">
      <formula>$B20="HANGUP"</formula>
    </cfRule>
  </conditionalFormatting>
  <conditionalFormatting sqref="C20">
    <cfRule type="expression" dxfId="6432" priority="8">
      <formula>$B20="Speak"</formula>
    </cfRule>
  </conditionalFormatting>
  <conditionalFormatting sqref="C22">
    <cfRule type="expression" dxfId="6431" priority="4">
      <formula>$B22="Dial"</formula>
    </cfRule>
    <cfRule type="expression" dxfId="6430" priority="6">
      <formula>$B22="HANGUP"</formula>
    </cfRule>
  </conditionalFormatting>
  <conditionalFormatting sqref="C22">
    <cfRule type="expression" dxfId="6429" priority="5">
      <formula>$B22="Speak"</formula>
    </cfRule>
  </conditionalFormatting>
  <conditionalFormatting sqref="C18">
    <cfRule type="expression" dxfId="6428" priority="1">
      <formula>$B18="Dial"</formula>
    </cfRule>
    <cfRule type="expression" dxfId="6427" priority="3">
      <formula>$B18="HANGUP"</formula>
    </cfRule>
  </conditionalFormatting>
  <conditionalFormatting sqref="C18">
    <cfRule type="expression" dxfId="6426" priority="2">
      <formula>$B18="Speak"</formula>
    </cfRule>
  </conditionalFormatting>
  <hyperlinks>
    <hyperlink ref="A1" location="'Test Case Overview'!A1" display="Return to Test Case Overview" xr:uid="{00000000-0004-0000-0A00-000000000000}"/>
  </hyperlink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40" operator="containsText" text="WEB SERVICE" id="{EBA37E15-2A54-4BF4-8F58-2EC5CC108388}">
            <xm:f>NOT(ISERROR(SEARCH("WEB SERVICE",'TC1'!E10)))</xm:f>
            <x14:dxf>
              <font>
                <color rgb="FF9C0006"/>
              </font>
              <fill>
                <patternFill>
                  <bgColor rgb="FFFFC7CE"/>
                </patternFill>
              </fill>
            </x14:dxf>
          </x14:cfRule>
          <x14:cfRule type="containsText" priority="41" operator="containsText" text="DB" id="{DB85D878-41C9-4D73-AF8A-5765ABDC6C4A}">
            <xm:f>NOT(ISERROR(SEARCH("DB",'TC1'!E10)))</xm:f>
            <x14:dxf>
              <font>
                <color rgb="FF006100"/>
              </font>
              <fill>
                <patternFill>
                  <bgColor rgb="FFC6EFCE"/>
                </patternFill>
              </fill>
            </x14:dxf>
          </x14:cfRule>
          <xm:sqref>E9:E12</xm:sqref>
        </x14:conditionalFormatting>
        <x14:conditionalFormatting xmlns:xm="http://schemas.microsoft.com/office/excel/2006/main">
          <x14:cfRule type="containsText" priority="744" operator="containsText" text="WEB SERVICE" id="{EBA37E15-2A54-4BF4-8F58-2EC5CC108388}">
            <xm:f>NOT(ISERROR(SEARCH("WEB SERVICE",'TC1'!#REF!)))</xm:f>
            <x14:dxf>
              <font>
                <color rgb="FF9C0006"/>
              </font>
              <fill>
                <patternFill>
                  <bgColor rgb="FFFFC7CE"/>
                </patternFill>
              </fill>
            </x14:dxf>
          </x14:cfRule>
          <x14:cfRule type="containsText" priority="745" operator="containsText" text="DB" id="{DB85D878-41C9-4D73-AF8A-5765ABDC6C4A}">
            <xm:f>NOT(ISERROR(SEARCH("DB",'TC1'!#REF!)))</xm:f>
            <x14:dxf>
              <font>
                <color rgb="FF006100"/>
              </font>
              <fill>
                <patternFill>
                  <bgColor rgb="FFC6EFCE"/>
                </patternFill>
              </fill>
            </x14:dxf>
          </x14:cfRule>
          <xm:sqref>E13:E24</xm:sqref>
        </x14:conditionalFormatting>
      </x14:conditionalFormattings>
    </ext>
  </extLst>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sheetPr codeName="Sheet111"/>
  <dimension ref="A1:E27"/>
  <sheetViews>
    <sheetView zoomScaleNormal="100" workbookViewId="0">
      <selection activeCell="C4" sqref="C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TC109</v>
      </c>
      <c r="C2" s="94"/>
      <c r="D2" s="107"/>
      <c r="E2" s="93"/>
    </row>
    <row r="3" spans="1:5">
      <c r="A3" s="100" t="s">
        <v>19</v>
      </c>
      <c r="B3" s="108">
        <f ca="1">VLOOKUP(B2,Table1[#All],2,FALSE)</f>
        <v>0</v>
      </c>
      <c r="C3" s="94"/>
      <c r="D3" s="107"/>
      <c r="E3" s="93"/>
    </row>
    <row r="4" spans="1:5" ht="30">
      <c r="A4" s="109" t="s">
        <v>20</v>
      </c>
      <c r="B4" s="95" t="str">
        <f ca="1">VLOOKUP(B2,Table1[#All],4,FALSE)</f>
        <v>serviceType=RequestDocs, 1098 msg not active, cancellation ltr status Cancelled=No</v>
      </c>
      <c r="C4" s="94"/>
      <c r="D4" s="107"/>
      <c r="E4" s="93"/>
    </row>
    <row r="5" spans="1:5" ht="75">
      <c r="A5" s="100" t="s">
        <v>6</v>
      </c>
      <c r="B5" s="75" t="str">
        <f ca="1">VLOOKUP(B2,Table1[#All],3,FALSE)</f>
        <v>CallStart Main Menu/Pmts and Statements/request doc/ serviceType=requestDocs/ID Auth/ID Auth True,Finance Exception code=else/at peg 470 no input no match/Xfer</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VLOOKUP(Table257519913140106[[#This Row],[PEG]],Table1016[#All],2,FALSE)</f>
        <v>CallID.wav Call ID &lt;CallID&gt;</v>
      </c>
      <c r="D9" s="149" t="s">
        <v>477</v>
      </c>
      <c r="E9" s="122" t="str">
        <f>VLOOKUP(Table257519913140106[[#This Row],[PEG]],Table1016[#All],3,FALSE)</f>
        <v>TEST</v>
      </c>
    </row>
    <row r="10" spans="1:5" ht="30">
      <c r="A10" s="114">
        <v>3</v>
      </c>
      <c r="B10" s="110" t="s">
        <v>115</v>
      </c>
      <c r="C10" s="105" t="str">
        <f>VLOOKUP(Table257519913140106[[#This Row],[PEG]],Table1016[#All],2,FALSE)</f>
        <v>0100.wav Thank you for calling Shell vacations Club, we are glad you called. Please have your account number available for faster service. [To continue in Spanish, press 9]</v>
      </c>
      <c r="D10" s="149">
        <v>100</v>
      </c>
      <c r="E10" s="122" t="str">
        <f>VLOOKUP(Table257519913140106[[#This Row],[PEG]],Table1016[#All],3,FALSE)</f>
        <v>PLAY PROMPT</v>
      </c>
    </row>
    <row r="11" spans="1:5" ht="30">
      <c r="A11" s="114">
        <v>4</v>
      </c>
      <c r="B11" s="110" t="s">
        <v>115</v>
      </c>
      <c r="C11" s="105" t="str">
        <f>VLOOKUP(Table257519913140106[[#This Row],[PEG]],Table1016[#All],2,FALSE)</f>
        <v>0110-1.wav Which would you like? You can say... reservations, payments &amp; statements, title &amp; ownership changes, or more options.</v>
      </c>
      <c r="D11" s="149">
        <v>110</v>
      </c>
      <c r="E11" s="122" t="str">
        <f>VLOOKUP(Table257519913140106[[#This Row],[PEG]],Table1016[#All],3,FALSE)</f>
        <v>MENU PROMPT</v>
      </c>
    </row>
    <row r="12" spans="1:5">
      <c r="A12" s="114">
        <v>5</v>
      </c>
      <c r="B12" s="110" t="s">
        <v>124</v>
      </c>
      <c r="C12" s="158" t="s">
        <v>565</v>
      </c>
      <c r="D12" s="149"/>
      <c r="E12" s="122" t="e">
        <f>VLOOKUP(Table257519913140106[[#This Row],[PEG]],Table1016[#All],3,FALSE)</f>
        <v>#N/A</v>
      </c>
    </row>
    <row r="13" spans="1:5" ht="30">
      <c r="A13" s="114">
        <v>6</v>
      </c>
      <c r="B13" s="110" t="s">
        <v>115</v>
      </c>
      <c r="C13" s="105" t="str">
        <f>VLOOKUP(Table257519913140106[[#This Row],[PEG]],Table1016[#All],2,FALSE)</f>
        <v>400.wav You can say make a payment, check account status, request a document, or more options. Which would you like?</v>
      </c>
      <c r="D13" s="149">
        <v>400</v>
      </c>
      <c r="E13" s="122" t="str">
        <f>VLOOKUP(Table257519913140106[[#This Row],[PEG]],Table1016[#All],3,FALSE)</f>
        <v>MENU PROMPT</v>
      </c>
    </row>
    <row r="14" spans="1:5">
      <c r="A14" s="114">
        <v>7</v>
      </c>
      <c r="B14" s="110" t="s">
        <v>124</v>
      </c>
      <c r="C14" s="151" t="s">
        <v>575</v>
      </c>
      <c r="D14" s="125"/>
      <c r="E14" s="122" t="e">
        <f>VLOOKUP(Table257519913140106[[#This Row],[PEG]],Table1016[#All],3,FALSE)</f>
        <v>#N/A</v>
      </c>
    </row>
    <row r="15" spans="1:5">
      <c r="A15" s="114">
        <v>8</v>
      </c>
      <c r="B15" s="110" t="s">
        <v>115</v>
      </c>
      <c r="C15" s="105" t="str">
        <f>VLOOKUP(Table257519913140106[[#This Row],[PEG]],Table1016[#All],2,FALSE)</f>
        <v>0200-1.wav To get started, what is your account number?</v>
      </c>
      <c r="D15" s="112">
        <v>200</v>
      </c>
      <c r="E15" s="122" t="str">
        <f>VLOOKUP(Table257519913140106[[#This Row],[PEG]],Table1016[#All],3,FALSE)</f>
        <v>MENU PROMPT</v>
      </c>
    </row>
    <row r="16" spans="1:5">
      <c r="A16" s="114">
        <v>9</v>
      </c>
      <c r="B16" s="110" t="s">
        <v>114</v>
      </c>
      <c r="C16" s="151" t="s">
        <v>515</v>
      </c>
      <c r="D16" s="112"/>
      <c r="E16" s="122" t="e">
        <f>VLOOKUP(Table257519913140106[[#This Row],[PEG]],Table1016[#All],3,FALSE)</f>
        <v>#N/A</v>
      </c>
    </row>
    <row r="17" spans="1:5">
      <c r="A17" s="114">
        <v>10</v>
      </c>
      <c r="B17" s="110" t="s">
        <v>12</v>
      </c>
      <c r="C17" s="105" t="str">
        <f>VLOOKUP(Table257519913140106[[#This Row],[PEG]],Table1016[#All],2,FALSE)</f>
        <v>0210-1.wav And the date of birth for the primary owner?</v>
      </c>
      <c r="D17" s="113">
        <v>210</v>
      </c>
      <c r="E17" s="122" t="str">
        <f>VLOOKUP(Table257519913140106[[#This Row],[PEG]],Table1016[#All],3,FALSE)</f>
        <v>MENU PROMPT</v>
      </c>
    </row>
    <row r="18" spans="1:5">
      <c r="A18" s="114">
        <v>11</v>
      </c>
      <c r="B18" s="110" t="s">
        <v>124</v>
      </c>
      <c r="C18" s="151" t="s">
        <v>614</v>
      </c>
      <c r="D18" s="113"/>
      <c r="E18" s="122" t="e">
        <f>VLOOKUP(Table257519913140106[[#This Row],[PEG]],Table1016[#All],3,FALSE)</f>
        <v>#N/A</v>
      </c>
    </row>
    <row r="19" spans="1:5" ht="30">
      <c r="A19" s="114">
        <v>12</v>
      </c>
      <c r="B19" s="110" t="s">
        <v>115</v>
      </c>
      <c r="C19" s="105" t="str">
        <f>VLOOKUP(Table257519913140106[[#This Row],[PEG]],Table1016[#All],2,FALSE)</f>
        <v xml:space="preserve">0470.wav Which document would you like? You can say pay-off quote, statements, cancellation letter or tax documents. </v>
      </c>
      <c r="D19" s="113">
        <v>470</v>
      </c>
      <c r="E19" s="122" t="str">
        <f>VLOOKUP(Table257519913140106[[#This Row],[PEG]],Table1016[#All],3,FALSE)</f>
        <v>MENU PROMPT</v>
      </c>
    </row>
    <row r="20" spans="1:5">
      <c r="A20" s="114">
        <v>13</v>
      </c>
      <c r="B20" s="110" t="s">
        <v>12</v>
      </c>
      <c r="C20" s="151" t="s">
        <v>607</v>
      </c>
      <c r="D20" s="113"/>
      <c r="E20" s="122" t="e">
        <f>VLOOKUP(Table257519913140106[[#This Row],[PEG]],Table1016[#All],3,FALSE)</f>
        <v>#N/A</v>
      </c>
    </row>
    <row r="21" spans="1:5">
      <c r="A21" s="114">
        <v>14</v>
      </c>
      <c r="B21" s="110" t="s">
        <v>12</v>
      </c>
      <c r="C21" s="105" t="str">
        <f>VLOOKUP(Table257519913140106[[#This Row],[PEG]],Table1016[#All],2,FALSE)</f>
        <v>Sorry.</v>
      </c>
      <c r="D21" s="113" t="s">
        <v>295</v>
      </c>
      <c r="E21" s="122" t="str">
        <f>VLOOKUP(Table257519913140106[[#This Row],[PEG]],Table1016[#All],3,FALSE)</f>
        <v>PLAY PROMPT</v>
      </c>
    </row>
    <row r="22" spans="1:5" ht="30">
      <c r="A22" s="114">
        <v>15</v>
      </c>
      <c r="B22" s="110" t="s">
        <v>115</v>
      </c>
      <c r="C22" s="105" t="str">
        <f>VLOOKUP(Table257519913140106[[#This Row],[PEG]],Table1016[#All],2,FALSE)</f>
        <v>0470SelectDocRetry.wav  For a pay-off quote, press 1. Statements, 2. Cancellation letter, 3. Tax doucments 4. TO speak to a representative, press 0.</v>
      </c>
      <c r="D22" s="113" t="s">
        <v>386</v>
      </c>
      <c r="E22" s="122" t="str">
        <f>VLOOKUP(Table257519913140106[[#This Row],[PEG]],Table1016[#All],3,FALSE)</f>
        <v>MENU PROMPT</v>
      </c>
    </row>
    <row r="23" spans="1:5">
      <c r="A23" s="114">
        <v>16</v>
      </c>
      <c r="B23" s="110" t="s">
        <v>114</v>
      </c>
      <c r="C23" s="151" t="s">
        <v>1</v>
      </c>
      <c r="D23" s="113"/>
      <c r="E23" s="122" t="e">
        <f>VLOOKUP(Table257519913140106[[#This Row],[PEG]],Table1016[#All],3,FALSE)</f>
        <v>#N/A</v>
      </c>
    </row>
    <row r="24" spans="1:5">
      <c r="A24" s="114">
        <v>17</v>
      </c>
      <c r="B24" s="110" t="s">
        <v>115</v>
      </c>
      <c r="C24" s="105" t="str">
        <f>VLOOKUP(Table257519913140106[[#This Row],[PEG]],Table1016[#All],2,FALSE)</f>
        <v>Sorry, I'm having trouble</v>
      </c>
      <c r="D24" s="113" t="s">
        <v>297</v>
      </c>
      <c r="E24" s="122" t="str">
        <f>VLOOKUP(Table257519913140106[[#This Row],[PEG]],Table1016[#All],3,FALSE)</f>
        <v>PLAY PROMPT</v>
      </c>
    </row>
    <row r="25" spans="1:5">
      <c r="A25" s="114">
        <v>18</v>
      </c>
      <c r="B25" s="110" t="s">
        <v>115</v>
      </c>
      <c r="C25" s="105" t="str">
        <f>VLOOKUP(Table257519913140106[[#This Row],[PEG]],Table1016[#All],2,FALSE)</f>
        <v>0900.wav Please hold, while I connect you to a customer service representative.</v>
      </c>
      <c r="D25" s="113">
        <v>900</v>
      </c>
      <c r="E25" s="122" t="str">
        <f>VLOOKUP(Table257519913140106[[#This Row],[PEG]],Table1016[#All],3,FALSE)</f>
        <v>PLAY PROMPT</v>
      </c>
    </row>
    <row r="26" spans="1:5">
      <c r="A26" s="114">
        <v>19</v>
      </c>
      <c r="B26" s="110" t="s">
        <v>115</v>
      </c>
      <c r="C26" s="105" t="str">
        <f>VLOOKUP(Table257519913140106[[#This Row],[PEG]],Table1016[#All],2,FALSE)</f>
        <v>XferNbr.wav Transfer Number &lt;TransferNbr&gt;</v>
      </c>
      <c r="D26" s="113" t="s">
        <v>480</v>
      </c>
      <c r="E26" s="122" t="str">
        <f>VLOOKUP(Table257519913140106[[#This Row],[PEG]],Table1016[#All],3,FALSE)</f>
        <v>TEST</v>
      </c>
    </row>
    <row r="27" spans="1:5">
      <c r="A27" s="114">
        <v>20</v>
      </c>
      <c r="B27" s="110" t="s">
        <v>13</v>
      </c>
      <c r="C27" s="17" t="s">
        <v>13</v>
      </c>
      <c r="D27" s="111"/>
      <c r="E27" s="31"/>
    </row>
  </sheetData>
  <mergeCells count="1">
    <mergeCell ref="A1:B1"/>
  </mergeCells>
  <conditionalFormatting sqref="B8 B27">
    <cfRule type="containsText" dxfId="2771" priority="9" operator="containsText" text="Hear">
      <formula>NOT(ISERROR(SEARCH("Hear",B8)))</formula>
    </cfRule>
  </conditionalFormatting>
  <conditionalFormatting sqref="E27">
    <cfRule type="containsText" dxfId="2770" priority="20" operator="containsText" text="WEB SERVICE">
      <formula>NOT(ISERROR(SEARCH("WEB SERVICE",E27)))</formula>
    </cfRule>
    <cfRule type="containsText" dxfId="2769" priority="21" operator="containsText" text="DB">
      <formula>NOT(ISERROR(SEARCH("DB",E27)))</formula>
    </cfRule>
  </conditionalFormatting>
  <conditionalFormatting sqref="C27">
    <cfRule type="expression" dxfId="2768" priority="23">
      <formula>$B27="Dial"</formula>
    </cfRule>
    <cfRule type="expression" dxfId="2767" priority="25">
      <formula>$B27="HANGUP"</formula>
    </cfRule>
  </conditionalFormatting>
  <conditionalFormatting sqref="C27">
    <cfRule type="expression" dxfId="2766" priority="24">
      <formula>$B27="Speak"</formula>
    </cfRule>
  </conditionalFormatting>
  <conditionalFormatting sqref="B20:B26">
    <cfRule type="containsText" dxfId="2765" priority="13" operator="containsText" text="Hear">
      <formula>NOT(ISERROR(SEARCH("Hear",B20)))</formula>
    </cfRule>
  </conditionalFormatting>
  <conditionalFormatting sqref="B9:B19">
    <cfRule type="containsText" dxfId="2764" priority="7" operator="containsText" text="Hear">
      <formula>NOT(ISERROR(SEARCH("Hear",B9)))</formula>
    </cfRule>
  </conditionalFormatting>
  <hyperlinks>
    <hyperlink ref="A1" location="'Test Case Overview'!A1" display="Return to Test Case Overview" xr:uid="{00000000-0004-0000-6D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0" id="{F3AE7E60-8DD0-4031-888A-0332C6A55E05}">
            <xm:f>'TC1'!$B8="Dial"</xm:f>
            <x14:dxf>
              <font>
                <b/>
                <i val="0"/>
                <color rgb="FFFF0000"/>
              </font>
            </x14:dxf>
          </x14:cfRule>
          <x14:cfRule type="expression" priority="26" id="{77F4146B-7D8B-434B-9109-7410D41E6D36}">
            <xm:f>'TC1'!$B8="HANGUP"</xm:f>
            <x14:dxf>
              <font>
                <b/>
                <i val="0"/>
              </font>
            </x14:dxf>
          </x14:cfRule>
          <xm:sqref>C8</xm:sqref>
        </x14:conditionalFormatting>
        <x14:conditionalFormatting xmlns:xm="http://schemas.microsoft.com/office/excel/2006/main">
          <x14:cfRule type="expression" priority="27" id="{A9FA9BDE-424A-4739-9B5C-5C59819E082A}">
            <xm:f>'TC1'!$B8="Speak"</xm:f>
            <x14:dxf>
              <font>
                <b/>
                <i val="0"/>
                <color rgb="FFFF0000"/>
              </font>
            </x14:dxf>
          </x14:cfRule>
          <xm:sqref>C8</xm:sqref>
        </x14:conditionalFormatting>
        <x14:conditionalFormatting xmlns:xm="http://schemas.microsoft.com/office/excel/2006/main">
          <x14:cfRule type="containsText" priority="28" operator="containsText" text="DB" id="{0EEC8BBE-DDC7-4ADC-AF95-6539A6C1FFCF}">
            <xm:f>NOT(ISERROR(SEARCH("DB",'TC1'!E10)))</xm:f>
            <x14:dxf>
              <font>
                <color rgb="FF006100"/>
              </font>
              <fill>
                <patternFill>
                  <bgColor rgb="FFC6EFCE"/>
                </patternFill>
              </fill>
            </x14:dxf>
          </x14:cfRule>
          <x14:cfRule type="containsText" priority="28" operator="containsText" text="WEB SERVICE" id="{A677FB74-EDCA-48A3-BEB4-FA2F1EF28C81}">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2456" id="{F3AE7E60-8DD0-4031-888A-0332C6A55E05}">
            <xm:f>'TC1'!#REF!="Dial"</xm:f>
            <x14:dxf>
              <font>
                <b/>
                <i val="0"/>
                <color rgb="FFFF0000"/>
              </font>
            </x14:dxf>
          </x14:cfRule>
          <x14:cfRule type="expression" priority="2457" id="{77F4146B-7D8B-434B-9109-7410D41E6D36}">
            <xm:f>'TC1'!#REF!="HANGUP"</xm:f>
            <x14:dxf>
              <font>
                <b/>
                <i val="0"/>
              </font>
            </x14:dxf>
          </x14:cfRule>
          <xm:sqref>C13:C15 C19:C26 C17</xm:sqref>
        </x14:conditionalFormatting>
        <x14:conditionalFormatting xmlns:xm="http://schemas.microsoft.com/office/excel/2006/main">
          <x14:cfRule type="expression" priority="2462" id="{A9FA9BDE-424A-4739-9B5C-5C59819E082A}">
            <xm:f>'TC1'!#REF!="Speak"</xm:f>
            <x14:dxf>
              <font>
                <b/>
                <i val="0"/>
                <color rgb="FFFF0000"/>
              </font>
            </x14:dxf>
          </x14:cfRule>
          <xm:sqref>C13:C15 C19:C26 C17</xm:sqref>
        </x14:conditionalFormatting>
        <x14:conditionalFormatting xmlns:xm="http://schemas.microsoft.com/office/excel/2006/main">
          <x14:cfRule type="containsText" priority="2468" operator="containsText" text="DB" id="{0EEC8BBE-DDC7-4ADC-AF95-6539A6C1FFCF}">
            <xm:f>NOT(ISERROR(SEARCH("DB",'TC1'!#REF!)))</xm:f>
            <x14:dxf>
              <font>
                <color rgb="FF006100"/>
              </font>
              <fill>
                <patternFill>
                  <bgColor rgb="FFC6EFCE"/>
                </patternFill>
              </fill>
            </x14:dxf>
          </x14:cfRule>
          <x14:cfRule type="containsText" priority="2469" operator="containsText" text="WEB SERVICE" id="{A677FB74-EDCA-48A3-BEB4-FA2F1EF28C81}">
            <xm:f>NOT(ISERROR(SEARCH("WEB SERVICE",'TC1'!#REF!)))</xm:f>
            <x14:dxf>
              <font>
                <color rgb="FF9C0006"/>
              </font>
              <fill>
                <patternFill>
                  <bgColor rgb="FFFFC7CE"/>
                </patternFill>
              </fill>
            </x14:dxf>
          </x14:cfRule>
          <xm:sqref>E13:E26</xm:sqref>
        </x14:conditionalFormatting>
        <x14:conditionalFormatting xmlns:xm="http://schemas.microsoft.com/office/excel/2006/main">
          <x14:cfRule type="expression" priority="4238" id="{F3AE7E60-8DD0-4031-888A-0332C6A55E05}">
            <xm:f>'TC1'!$B10="Dial"</xm:f>
            <x14:dxf>
              <font>
                <b/>
                <i val="0"/>
                <color rgb="FFFF0000"/>
              </font>
            </x14:dxf>
          </x14:cfRule>
          <x14:cfRule type="expression" priority="4239" id="{77F4146B-7D8B-434B-9109-7410D41E6D36}">
            <xm:f>'TC1'!$B10="HANGUP"</xm:f>
            <x14:dxf>
              <font>
                <b/>
                <i val="0"/>
              </font>
            </x14:dxf>
          </x14:cfRule>
          <xm:sqref>C9:C12</xm:sqref>
        </x14:conditionalFormatting>
        <x14:conditionalFormatting xmlns:xm="http://schemas.microsoft.com/office/excel/2006/main">
          <x14:cfRule type="expression" priority="4241" id="{A9FA9BDE-424A-4739-9B5C-5C59819E082A}">
            <xm:f>'TC1'!$B10="Speak"</xm:f>
            <x14:dxf>
              <font>
                <b/>
                <i val="0"/>
                <color rgb="FFFF0000"/>
              </font>
            </x14:dxf>
          </x14:cfRule>
          <xm:sqref>C9:C12</xm:sqref>
        </x14:conditionalFormatting>
        <x14:conditionalFormatting xmlns:xm="http://schemas.microsoft.com/office/excel/2006/main">
          <x14:cfRule type="expression" priority="4" id="{0D2336DE-B7E6-428F-BFF9-441089A01AD8}">
            <xm:f>'\Users\deannah\Wyndham Testing\[Wyndham Destinations_TestCaseOverview_V3_Template.xlsx]TC1'!#REF!="HANGUP"</xm:f>
            <x14:dxf>
              <font>
                <b/>
                <i val="0"/>
              </font>
            </x14:dxf>
          </x14:cfRule>
          <x14:cfRule type="expression" priority="5" id="{3A07CB69-13BC-4667-9247-A201D77FC9AE}">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6" id="{9AA89C7F-25F9-478B-B4EF-CD98FB6C24F1}">
            <xm:f>'\Users\deannah\Wyndham Testing\[Wyndham Destinations_TestCaseOverview_V3_Template.xlsx]TC1'!#REF!="Speak"</xm:f>
            <x14:dxf>
              <font>
                <b/>
                <i val="0"/>
                <color rgb="FFFF0000"/>
              </font>
            </x14:dxf>
          </x14:cfRule>
          <xm:sqref>C18</xm:sqref>
        </x14:conditionalFormatting>
        <x14:conditionalFormatting xmlns:xm="http://schemas.microsoft.com/office/excel/2006/main">
          <x14:cfRule type="expression" priority="1" id="{9B7D9248-1453-4330-B323-D51592B5481A}">
            <xm:f>'\Users\deannah\Wyndham Testing\[Wyndham Destinations_TestCaseOverview_V3_Template.xlsx]TC1'!#REF!="HANGUP"</xm:f>
            <x14:dxf>
              <font>
                <b/>
                <i val="0"/>
              </font>
            </x14:dxf>
          </x14:cfRule>
          <x14:cfRule type="expression" priority="2" id="{DC304D15-FA2D-4758-8A99-8AB32BD61AAC}">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3" id="{201EA1F0-6E90-4F3D-9CD9-1E93EE156883}">
            <xm:f>'\Users\deannah\Wyndham Testing\[Wyndham Destinations_TestCaseOverview_V3_Template.xlsx]TC1'!#REF!="Speak"</xm:f>
            <x14:dxf>
              <font>
                <b/>
                <i val="0"/>
                <color rgb="FFFF0000"/>
              </font>
            </x14:dxf>
          </x14:cfRule>
          <xm:sqref>C16</xm:sqref>
        </x14:conditionalFormatting>
      </x14:conditionalFormattings>
    </ext>
  </extLst>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sheetPr codeName="Sheet112"/>
  <dimension ref="A1:E29"/>
  <sheetViews>
    <sheetView zoomScaleNormal="100" workbookViewId="0">
      <selection sqref="A1:B1"/>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TC110</v>
      </c>
      <c r="C2" s="94"/>
      <c r="D2" s="107"/>
      <c r="E2" s="93"/>
    </row>
    <row r="3" spans="1:5">
      <c r="A3" s="100" t="s">
        <v>19</v>
      </c>
      <c r="B3" s="108">
        <f ca="1">VLOOKUP(B2,Table1[#All],2,FALSE)</f>
        <v>0</v>
      </c>
      <c r="C3" s="94"/>
      <c r="D3" s="107"/>
      <c r="E3" s="93"/>
    </row>
    <row r="4" spans="1:5" ht="30">
      <c r="A4" s="109" t="s">
        <v>20</v>
      </c>
      <c r="B4" s="95" t="str">
        <f ca="1">VLOOKUP(B2,Table1[#All],4,FALSE)</f>
        <v>serviceType=RequestDocs, 1098 msg not active, cancellation ltr status Cancelled=Yes</v>
      </c>
      <c r="C4" s="94"/>
      <c r="D4" s="107"/>
      <c r="E4" s="93"/>
    </row>
    <row r="5" spans="1:5" ht="75">
      <c r="A5" s="100" t="s">
        <v>6</v>
      </c>
      <c r="B5" s="75" t="str">
        <f ca="1">VLOOKUP(B2,Table1[#All],3,FALSE)</f>
        <v>CallStart Main Menu/Pmts and Statements/request doc/ serviceType=requestDocs/ID Auth/ID Auth True,Finance Exception code=else/peg 0475 no match 2X/Xfer</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VLOOKUP(Table257519913140106110[[#This Row],[PEG]],Table1016[#All],2,FALSE)</f>
        <v>CallID.wav Call ID &lt;CallID&gt;</v>
      </c>
      <c r="D9" s="149" t="s">
        <v>477</v>
      </c>
      <c r="E9" s="122" t="str">
        <f>VLOOKUP(Table257519913140106110[[#This Row],[PEG]],Table1016[#All],3,FALSE)</f>
        <v>TEST</v>
      </c>
    </row>
    <row r="10" spans="1:5" ht="30">
      <c r="A10" s="114">
        <v>3</v>
      </c>
      <c r="B10" s="110" t="s">
        <v>115</v>
      </c>
      <c r="C10" s="105" t="str">
        <f>VLOOKUP(Table257519913140106110[[#This Row],[PEG]],Table1016[#All],2,FALSE)</f>
        <v>0100.wav Thank you for calling Shell vacations Club, we are glad you called. Please have your account number available for faster service. [To continue in Spanish, press 9]</v>
      </c>
      <c r="D10" s="149">
        <v>100</v>
      </c>
      <c r="E10" s="122" t="str">
        <f>VLOOKUP(Table257519913140106110[[#This Row],[PEG]],Table1016[#All],3,FALSE)</f>
        <v>PLAY PROMPT</v>
      </c>
    </row>
    <row r="11" spans="1:5" ht="30">
      <c r="A11" s="114">
        <v>4</v>
      </c>
      <c r="B11" s="110" t="s">
        <v>115</v>
      </c>
      <c r="C11" s="105" t="str">
        <f>VLOOKUP(Table257519913140106110[[#This Row],[PEG]],Table1016[#All],2,FALSE)</f>
        <v>0110-1.wav Which would you like? You can say... reservations, payments &amp; statements, title &amp; ownership changes, or more options.</v>
      </c>
      <c r="D11" s="149">
        <v>110</v>
      </c>
      <c r="E11" s="122" t="str">
        <f>VLOOKUP(Table257519913140106110[[#This Row],[PEG]],Table1016[#All],3,FALSE)</f>
        <v>MENU PROMPT</v>
      </c>
    </row>
    <row r="12" spans="1:5">
      <c r="A12" s="114">
        <v>5</v>
      </c>
      <c r="B12" s="110" t="s">
        <v>124</v>
      </c>
      <c r="C12" s="158" t="s">
        <v>565</v>
      </c>
      <c r="D12" s="149"/>
      <c r="E12" s="122" t="e">
        <f>VLOOKUP(Table257519913140106110[[#This Row],[PEG]],Table1016[#All],3,FALSE)</f>
        <v>#N/A</v>
      </c>
    </row>
    <row r="13" spans="1:5" ht="30">
      <c r="A13" s="114">
        <v>6</v>
      </c>
      <c r="B13" s="110" t="s">
        <v>115</v>
      </c>
      <c r="C13" s="105" t="str">
        <f>VLOOKUP(Table257519913140106110[[#This Row],[PEG]],Table1016[#All],2,FALSE)</f>
        <v>400.wav You can say make a payment, check account status, request a document, or more options. Which would you like?</v>
      </c>
      <c r="D13" s="149">
        <v>400</v>
      </c>
      <c r="E13" s="122" t="str">
        <f>VLOOKUP(Table257519913140106110[[#This Row],[PEG]],Table1016[#All],3,FALSE)</f>
        <v>MENU PROMPT</v>
      </c>
    </row>
    <row r="14" spans="1:5">
      <c r="A14" s="114">
        <v>7</v>
      </c>
      <c r="B14" s="110" t="s">
        <v>124</v>
      </c>
      <c r="C14" s="151" t="s">
        <v>575</v>
      </c>
      <c r="D14" s="125"/>
      <c r="E14" s="122" t="e">
        <f>VLOOKUP(Table257519913140106110[[#This Row],[PEG]],Table1016[#All],3,FALSE)</f>
        <v>#N/A</v>
      </c>
    </row>
    <row r="15" spans="1:5">
      <c r="A15" s="114">
        <v>8</v>
      </c>
      <c r="B15" s="110" t="s">
        <v>115</v>
      </c>
      <c r="C15" s="105" t="str">
        <f>VLOOKUP(Table257519913140106110[[#This Row],[PEG]],Table1016[#All],2,FALSE)</f>
        <v>0200-1.wav To get started, what is your account number?</v>
      </c>
      <c r="D15" s="112">
        <v>200</v>
      </c>
      <c r="E15" s="122" t="str">
        <f>VLOOKUP(Table257519913140106110[[#This Row],[PEG]],Table1016[#All],3,FALSE)</f>
        <v>MENU PROMPT</v>
      </c>
    </row>
    <row r="16" spans="1:5">
      <c r="A16" s="114">
        <v>9</v>
      </c>
      <c r="B16" s="110" t="s">
        <v>114</v>
      </c>
      <c r="C16" s="151" t="s">
        <v>515</v>
      </c>
      <c r="D16" s="112"/>
      <c r="E16" s="122" t="e">
        <f>VLOOKUP(Table257519913140106110[[#This Row],[PEG]],Table1016[#All],3,FALSE)</f>
        <v>#N/A</v>
      </c>
    </row>
    <row r="17" spans="1:5">
      <c r="A17" s="114">
        <v>10</v>
      </c>
      <c r="B17" s="110" t="s">
        <v>12</v>
      </c>
      <c r="C17" s="105" t="str">
        <f>VLOOKUP(Table257519913140106110[[#This Row],[PEG]],Table1016[#All],2,FALSE)</f>
        <v>0210-1.wav And the date of birth for the primary owner?</v>
      </c>
      <c r="D17" s="113">
        <v>210</v>
      </c>
      <c r="E17" s="122" t="str">
        <f>VLOOKUP(Table257519913140106110[[#This Row],[PEG]],Table1016[#All],3,FALSE)</f>
        <v>MENU PROMPT</v>
      </c>
    </row>
    <row r="18" spans="1:5">
      <c r="A18" s="114">
        <v>11</v>
      </c>
      <c r="B18" s="110" t="s">
        <v>124</v>
      </c>
      <c r="C18" s="151" t="s">
        <v>614</v>
      </c>
      <c r="D18" s="113"/>
      <c r="E18" s="122" t="e">
        <f>VLOOKUP(Table257519913140106110[[#This Row],[PEG]],Table1016[#All],3,FALSE)</f>
        <v>#N/A</v>
      </c>
    </row>
    <row r="19" spans="1:5" ht="30">
      <c r="A19" s="114">
        <v>12</v>
      </c>
      <c r="B19" s="110" t="s">
        <v>115</v>
      </c>
      <c r="C19" s="105" t="str">
        <f>VLOOKUP(Table257519913140106110[[#This Row],[PEG]],Table1016[#All],2,FALSE)</f>
        <v xml:space="preserve">0470.wav Which document would you like? You can say pay-off quote, statements, cancellation letter or tax documents. </v>
      </c>
      <c r="D19" s="113">
        <v>470</v>
      </c>
      <c r="E19" s="122" t="str">
        <f>VLOOKUP(Table257519913140106110[[#This Row],[PEG]],Table1016[#All],3,FALSE)</f>
        <v>MENU PROMPT</v>
      </c>
    </row>
    <row r="20" spans="1:5">
      <c r="A20" s="114">
        <v>13</v>
      </c>
      <c r="B20" s="110" t="s">
        <v>124</v>
      </c>
      <c r="C20" s="151" t="s">
        <v>586</v>
      </c>
      <c r="D20" s="113"/>
      <c r="E20" s="122" t="e">
        <f>VLOOKUP(Table257519913140106110[[#This Row],[PEG]],Table1016[#All],3,FALSE)</f>
        <v>#N/A</v>
      </c>
    </row>
    <row r="21" spans="1:5">
      <c r="A21" s="114">
        <v>14</v>
      </c>
      <c r="B21" s="110" t="s">
        <v>115</v>
      </c>
      <c r="C21" s="105" t="str">
        <f>VLOOKUP(Table257519913140106110[[#This Row],[PEG]],Table1016[#All],2,FALSE)</f>
        <v>0475.wav Would you like me to send a copy of your cancellation letter to the address on file?</v>
      </c>
      <c r="D21" s="113">
        <v>475</v>
      </c>
      <c r="E21" s="122" t="str">
        <f>VLOOKUP(Table257519913140106110[[#This Row],[PEG]],Table1016[#All],3,FALSE)</f>
        <v>MENU PROMPT</v>
      </c>
    </row>
    <row r="22" spans="1:5">
      <c r="A22" s="114">
        <v>15</v>
      </c>
      <c r="B22" s="110" t="s">
        <v>114</v>
      </c>
      <c r="C22" s="151" t="s">
        <v>1</v>
      </c>
      <c r="D22" s="113"/>
      <c r="E22" s="122" t="e">
        <f>VLOOKUP(Table257519913140106110[[#This Row],[PEG]],Table1016[#All],3,FALSE)</f>
        <v>#N/A</v>
      </c>
    </row>
    <row r="23" spans="1:5">
      <c r="A23" s="114">
        <v>16</v>
      </c>
      <c r="B23" s="110" t="s">
        <v>115</v>
      </c>
      <c r="C23" s="105" t="str">
        <f>VLOOKUP(Table257519913140106110[[#This Row],[PEG]],Table1016[#All],2,FALSE)</f>
        <v>Sorry.</v>
      </c>
      <c r="D23" s="113" t="s">
        <v>295</v>
      </c>
      <c r="E23" s="122" t="str">
        <f>VLOOKUP(Table257519913140106110[[#This Row],[PEG]],Table1016[#All],3,FALSE)</f>
        <v>PLAY PROMPT</v>
      </c>
    </row>
    <row r="24" spans="1:5" ht="30">
      <c r="A24" s="114">
        <v>17</v>
      </c>
      <c r="B24" s="110" t="s">
        <v>115</v>
      </c>
      <c r="C24" s="105" t="str">
        <f>VLOOKUP(Table257519913140106110[[#This Row],[PEG]],Table1016[#All],2,FALSE)</f>
        <v>0475SendCancellationLetterRetry.wav  Would you like me to send you a copy of your cancellation letter to the address on file? If you would like to speak with someone, just say "representative."</v>
      </c>
      <c r="D24" s="113" t="s">
        <v>387</v>
      </c>
      <c r="E24" s="122" t="str">
        <f>VLOOKUP(Table257519913140106110[[#This Row],[PEG]],Table1016[#All],3,FALSE)</f>
        <v>MENU PROMPT</v>
      </c>
    </row>
    <row r="25" spans="1:5">
      <c r="A25" s="114">
        <v>18</v>
      </c>
      <c r="B25" s="110" t="s">
        <v>615</v>
      </c>
      <c r="C25" s="151" t="s">
        <v>1</v>
      </c>
      <c r="D25" s="113"/>
      <c r="E25" s="122" t="e">
        <f>VLOOKUP(Table257519913140106110[[#This Row],[PEG]],Table1016[#All],3,FALSE)</f>
        <v>#N/A</v>
      </c>
    </row>
    <row r="26" spans="1:5">
      <c r="A26" s="114">
        <v>19</v>
      </c>
      <c r="B26" s="110" t="s">
        <v>115</v>
      </c>
      <c r="C26" s="105" t="str">
        <f>VLOOKUP(Table257519913140106110[[#This Row],[PEG]],Table1016[#All],2,FALSE)</f>
        <v>Sorry, I'm having trouble</v>
      </c>
      <c r="D26" s="113" t="s">
        <v>297</v>
      </c>
      <c r="E26" s="122" t="str">
        <f>VLOOKUP(Table257519913140106110[[#This Row],[PEG]],Table1016[#All],3,FALSE)</f>
        <v>PLAY PROMPT</v>
      </c>
    </row>
    <row r="27" spans="1:5">
      <c r="A27" s="114">
        <v>20</v>
      </c>
      <c r="B27" s="110" t="s">
        <v>115</v>
      </c>
      <c r="C27" s="105" t="str">
        <f>VLOOKUP(Table257519913140106110[[#This Row],[PEG]],Table1016[#All],2,FALSE)</f>
        <v>0900.wav Please hold, while I connect you to a customer service representative.</v>
      </c>
      <c r="D27" s="111">
        <v>900</v>
      </c>
      <c r="E27" s="31"/>
    </row>
    <row r="28" spans="1:5">
      <c r="A28" s="114">
        <v>21</v>
      </c>
      <c r="B28" s="110" t="s">
        <v>115</v>
      </c>
      <c r="C28" s="105" t="str">
        <f>VLOOKUP(Table257519913140106110[[#This Row],[PEG]],Table1016[#All],2,FALSE)</f>
        <v>XferNbr.wav Transfer Number &lt;TransferNbr&gt;</v>
      </c>
      <c r="D28" s="165" t="s">
        <v>480</v>
      </c>
      <c r="E28" s="166"/>
    </row>
    <row r="29" spans="1:5">
      <c r="A29" s="167">
        <v>22</v>
      </c>
      <c r="B29" s="168" t="s">
        <v>13</v>
      </c>
      <c r="C29" s="170" t="s">
        <v>13</v>
      </c>
      <c r="D29" s="171"/>
      <c r="E29" s="169"/>
    </row>
  </sheetData>
  <mergeCells count="1">
    <mergeCell ref="A1:B1"/>
  </mergeCells>
  <conditionalFormatting sqref="B27">
    <cfRule type="containsText" dxfId="2735" priority="19" operator="containsText" text="Hear">
      <formula>NOT(ISERROR(SEARCH("Hear",B27)))</formula>
    </cfRule>
  </conditionalFormatting>
  <conditionalFormatting sqref="B8">
    <cfRule type="containsText" dxfId="2734" priority="16" operator="containsText" text="Hear">
      <formula>NOT(ISERROR(SEARCH("Hear",B8)))</formula>
    </cfRule>
  </conditionalFormatting>
  <conditionalFormatting sqref="E27">
    <cfRule type="containsText" dxfId="2733" priority="21" operator="containsText" text="WEB SERVICE">
      <formula>NOT(ISERROR(SEARCH("WEB SERVICE",E27)))</formula>
    </cfRule>
    <cfRule type="containsText" dxfId="2732" priority="22" operator="containsText" text="DB">
      <formula>NOT(ISERROR(SEARCH("DB",E27)))</formula>
    </cfRule>
  </conditionalFormatting>
  <conditionalFormatting sqref="B20:B26">
    <cfRule type="containsText" dxfId="2731" priority="9" operator="containsText" text="Hear">
      <formula>NOT(ISERROR(SEARCH("Hear",B20)))</formula>
    </cfRule>
  </conditionalFormatting>
  <conditionalFormatting sqref="B9:B19">
    <cfRule type="containsText" dxfId="2730" priority="8" operator="containsText" text="Hear">
      <formula>NOT(ISERROR(SEARCH("Hear",B9)))</formula>
    </cfRule>
  </conditionalFormatting>
  <conditionalFormatting sqref="B28">
    <cfRule type="containsText" dxfId="2729" priority="7" operator="containsText" text="Hear">
      <formula>NOT(ISERROR(SEARCH("Hear",B28)))</formula>
    </cfRule>
  </conditionalFormatting>
  <hyperlinks>
    <hyperlink ref="A1" location="'Test Case Overview'!A1" display="Return to Test Case Overview" xr:uid="{00000000-0004-0000-6E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7" id="{DFFD147E-4F48-47FE-889C-C776C8FC190E}">
            <xm:f>'TC1'!$B8="HANGUP"</xm:f>
            <x14:dxf>
              <font>
                <b/>
                <i val="0"/>
              </font>
            </x14:dxf>
          </x14:cfRule>
          <x14:cfRule type="expression" priority="27" id="{84962CC2-04BF-4D7F-B9F8-CF79D074FDF7}">
            <xm:f>'TC1'!$B8="Dial"</xm:f>
            <x14:dxf>
              <font>
                <b/>
                <i val="0"/>
                <color rgb="FFFF0000"/>
              </font>
            </x14:dxf>
          </x14:cfRule>
          <xm:sqref>C8</xm:sqref>
        </x14:conditionalFormatting>
        <x14:conditionalFormatting xmlns:xm="http://schemas.microsoft.com/office/excel/2006/main">
          <x14:cfRule type="expression" priority="28" id="{908132ED-8DDD-4029-9187-9AEC4D3BBC48}">
            <xm:f>'TC1'!$B8="Speak"</xm:f>
            <x14:dxf>
              <font>
                <b/>
                <i val="0"/>
                <color rgb="FFFF0000"/>
              </font>
            </x14:dxf>
          </x14:cfRule>
          <xm:sqref>C8</xm:sqref>
        </x14:conditionalFormatting>
        <x14:conditionalFormatting xmlns:xm="http://schemas.microsoft.com/office/excel/2006/main">
          <x14:cfRule type="containsText" priority="29" operator="containsText" text="DB" id="{61A0B9A9-D7B0-4C84-9CC6-EF14995864E3}">
            <xm:f>NOT(ISERROR(SEARCH("DB",'TC1'!E10)))</xm:f>
            <x14:dxf>
              <font>
                <color rgb="FF006100"/>
              </font>
              <fill>
                <patternFill>
                  <bgColor rgb="FFC6EFCE"/>
                </patternFill>
              </fill>
            </x14:dxf>
          </x14:cfRule>
          <x14:cfRule type="containsText" priority="29" operator="containsText" text="WEB SERVICE" id="{19036C40-34BE-4E25-8CD0-9871A55BDADE}">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2483" id="{DFFD147E-4F48-47FE-889C-C776C8FC190E}">
            <xm:f>'TC1'!#REF!="HANGUP"</xm:f>
            <x14:dxf>
              <font>
                <b/>
                <i val="0"/>
              </font>
            </x14:dxf>
          </x14:cfRule>
          <x14:cfRule type="expression" priority="2484" id="{84962CC2-04BF-4D7F-B9F8-CF79D074FDF7}">
            <xm:f>'TC1'!#REF!="Dial"</xm:f>
            <x14:dxf>
              <font>
                <b/>
                <i val="0"/>
                <color rgb="FFFF0000"/>
              </font>
            </x14:dxf>
          </x14:cfRule>
          <xm:sqref>C13:C15 C17 C19:C26</xm:sqref>
        </x14:conditionalFormatting>
        <x14:conditionalFormatting xmlns:xm="http://schemas.microsoft.com/office/excel/2006/main">
          <x14:cfRule type="expression" priority="2489" id="{908132ED-8DDD-4029-9187-9AEC4D3BBC48}">
            <xm:f>'TC1'!#REF!="Speak"</xm:f>
            <x14:dxf>
              <font>
                <b/>
                <i val="0"/>
                <color rgb="FFFF0000"/>
              </font>
            </x14:dxf>
          </x14:cfRule>
          <xm:sqref>C13:C15 C17 C19:C26</xm:sqref>
        </x14:conditionalFormatting>
        <x14:conditionalFormatting xmlns:xm="http://schemas.microsoft.com/office/excel/2006/main">
          <x14:cfRule type="containsText" priority="2495" operator="containsText" text="DB" id="{61A0B9A9-D7B0-4C84-9CC6-EF14995864E3}">
            <xm:f>NOT(ISERROR(SEARCH("DB",'TC1'!#REF!)))</xm:f>
            <x14:dxf>
              <font>
                <color rgb="FF006100"/>
              </font>
              <fill>
                <patternFill>
                  <bgColor rgb="FFC6EFCE"/>
                </patternFill>
              </fill>
            </x14:dxf>
          </x14:cfRule>
          <x14:cfRule type="containsText" priority="2496" operator="containsText" text="WEB SERVICE" id="{19036C40-34BE-4E25-8CD0-9871A55BDADE}">
            <xm:f>NOT(ISERROR(SEARCH("WEB SERVICE",'TC1'!#REF!)))</xm:f>
            <x14:dxf>
              <font>
                <color rgb="FF9C0006"/>
              </font>
              <fill>
                <patternFill>
                  <bgColor rgb="FFFFC7CE"/>
                </patternFill>
              </fill>
            </x14:dxf>
          </x14:cfRule>
          <xm:sqref>E13:E26</xm:sqref>
        </x14:conditionalFormatting>
        <x14:conditionalFormatting xmlns:xm="http://schemas.microsoft.com/office/excel/2006/main">
          <x14:cfRule type="expression" priority="4253" id="{DFFD147E-4F48-47FE-889C-C776C8FC190E}">
            <xm:f>'TC1'!$B10="HANGUP"</xm:f>
            <x14:dxf>
              <font>
                <b/>
                <i val="0"/>
              </font>
            </x14:dxf>
          </x14:cfRule>
          <x14:cfRule type="expression" priority="4254" id="{84962CC2-04BF-4D7F-B9F8-CF79D074FDF7}">
            <xm:f>'TC1'!$B10="Dial"</xm:f>
            <x14:dxf>
              <font>
                <b/>
                <i val="0"/>
                <color rgb="FFFF0000"/>
              </font>
            </x14:dxf>
          </x14:cfRule>
          <xm:sqref>C9:C12</xm:sqref>
        </x14:conditionalFormatting>
        <x14:conditionalFormatting xmlns:xm="http://schemas.microsoft.com/office/excel/2006/main">
          <x14:cfRule type="expression" priority="4256" id="{908132ED-8DDD-4029-9187-9AEC4D3BBC48}">
            <xm:f>'TC1'!$B10="Speak"</xm:f>
            <x14:dxf>
              <font>
                <b/>
                <i val="0"/>
                <color rgb="FFFF0000"/>
              </font>
            </x14:dxf>
          </x14:cfRule>
          <xm:sqref>C9:C12</xm:sqref>
        </x14:conditionalFormatting>
        <x14:conditionalFormatting xmlns:xm="http://schemas.microsoft.com/office/excel/2006/main">
          <x14:cfRule type="expression" priority="10" id="{52BC5CC7-10FB-42A1-8128-2A484EA4A5FF}">
            <xm:f>'\Users\deannah\Wyndham Testing\[Wyndham Destinations_TestCaseOverview_V3_Template.xlsx]TC1'!#REF!="HANGUP"</xm:f>
            <x14:dxf>
              <font>
                <b/>
                <i val="0"/>
              </font>
            </x14:dxf>
          </x14:cfRule>
          <x14:cfRule type="expression" priority="11" id="{B997CD77-699D-459D-800C-0D7AA3FA4EB8}">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13" id="{8BDC0765-3754-4A83-9BDA-29B6B66EF03B}">
            <xm:f>'\Users\deannah\Wyndham Testing\[Wyndham Destinations_TestCaseOverview_V3_Template.xlsx]TC1'!#REF!="HANGUP"</xm:f>
            <x14:dxf>
              <font>
                <b/>
                <i val="0"/>
              </font>
            </x14:dxf>
          </x14:cfRule>
          <x14:cfRule type="expression" priority="14" id="{B59D0FD5-62C6-4969-9D93-82B6BD4A083B}">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15" id="{C9BB7E2C-C95C-4812-A0A1-F686D4C1D118}">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12" id="{DA4E7F9A-935C-44D0-90AF-2A55E173AAD5}">
            <xm:f>'\Users\deannah\Wyndham Testing\[Wyndham Destinations_TestCaseOverview_V3_Template.xlsx]TC1'!#REF!="Speak"</xm:f>
            <x14:dxf>
              <font>
                <b/>
                <i val="0"/>
                <color rgb="FFFF0000"/>
              </font>
            </x14:dxf>
          </x14:cfRule>
          <xm:sqref>C18</xm:sqref>
        </x14:conditionalFormatting>
        <x14:conditionalFormatting xmlns:xm="http://schemas.microsoft.com/office/excel/2006/main">
          <x14:cfRule type="expression" priority="4" id="{4DF5BD9F-926C-4BA6-A48A-D923A1C491A1}">
            <xm:f>'TC1'!#REF!="HANGUP"</xm:f>
            <x14:dxf>
              <font>
                <b/>
                <i val="0"/>
              </font>
            </x14:dxf>
          </x14:cfRule>
          <x14:cfRule type="expression" priority="5" id="{A69E2E07-3A1B-49D5-BF6F-151A8C9F1EA4}">
            <xm:f>'TC1'!#REF!="Dial"</xm:f>
            <x14:dxf>
              <font>
                <b/>
                <i val="0"/>
                <color rgb="FFFF0000"/>
              </font>
            </x14:dxf>
          </x14:cfRule>
          <xm:sqref>C27</xm:sqref>
        </x14:conditionalFormatting>
        <x14:conditionalFormatting xmlns:xm="http://schemas.microsoft.com/office/excel/2006/main">
          <x14:cfRule type="expression" priority="6" id="{ADE883E6-35E5-4790-B35C-EDB00BD0C5E0}">
            <xm:f>'TC1'!#REF!="Speak"</xm:f>
            <x14:dxf>
              <font>
                <b/>
                <i val="0"/>
                <color rgb="FFFF0000"/>
              </font>
            </x14:dxf>
          </x14:cfRule>
          <xm:sqref>C27</xm:sqref>
        </x14:conditionalFormatting>
        <x14:conditionalFormatting xmlns:xm="http://schemas.microsoft.com/office/excel/2006/main">
          <x14:cfRule type="expression" priority="1" id="{0BFD9528-E8D7-4C98-ADE8-0CED23D754F5}">
            <xm:f>'TC1'!#REF!="HANGUP"</xm:f>
            <x14:dxf>
              <font>
                <b/>
                <i val="0"/>
              </font>
            </x14:dxf>
          </x14:cfRule>
          <x14:cfRule type="expression" priority="2" id="{98FA6590-D79D-400F-940F-E99D8BF7C939}">
            <xm:f>'TC1'!#REF!="Dial"</xm:f>
            <x14:dxf>
              <font>
                <b/>
                <i val="0"/>
                <color rgb="FFFF0000"/>
              </font>
            </x14:dxf>
          </x14:cfRule>
          <xm:sqref>C28</xm:sqref>
        </x14:conditionalFormatting>
        <x14:conditionalFormatting xmlns:xm="http://schemas.microsoft.com/office/excel/2006/main">
          <x14:cfRule type="expression" priority="3" id="{D14C00AE-CABE-433E-A96E-E33C6775D871}">
            <xm:f>'TC1'!#REF!="Speak"</xm:f>
            <x14:dxf>
              <font>
                <b/>
                <i val="0"/>
                <color rgb="FFFF0000"/>
              </font>
            </x14:dxf>
          </x14:cfRule>
          <xm:sqref>C28</xm:sqref>
        </x14:conditionalFormatting>
      </x14:conditionalFormattings>
    </ext>
  </extLst>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sheetPr codeName="Sheet113"/>
  <dimension ref="A1:E28"/>
  <sheetViews>
    <sheetView zoomScaleNormal="100" workbookViewId="0">
      <selection activeCell="C4" sqref="C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TC111</v>
      </c>
      <c r="C2" s="94"/>
      <c r="D2" s="107"/>
      <c r="E2" s="93"/>
    </row>
    <row r="3" spans="1:5">
      <c r="A3" s="100" t="s">
        <v>19</v>
      </c>
      <c r="B3" s="108">
        <f ca="1">VLOOKUP(B2,Table1[#All],2,FALSE)</f>
        <v>0</v>
      </c>
      <c r="C3" s="94"/>
      <c r="D3" s="107"/>
      <c r="E3" s="93"/>
    </row>
    <row r="4" spans="1:5" ht="30">
      <c r="A4" s="109" t="s">
        <v>20</v>
      </c>
      <c r="B4" s="95" t="str">
        <f ca="1">VLOOKUP(B2,Table1[#All],4,FALSE)</f>
        <v xml:space="preserve">serviceType=RequestDocs, 1098 msg not active, Statement/annual </v>
      </c>
      <c r="C4" s="94"/>
      <c r="D4" s="107"/>
      <c r="E4" s="93"/>
    </row>
    <row r="5" spans="1:5" ht="75">
      <c r="A5" s="100" t="s">
        <v>6</v>
      </c>
      <c r="B5" s="75" t="str">
        <f ca="1">VLOOKUP(B2,Table1[#All],3,FALSE)</f>
        <v>CallStart Main Menu/Pmts and Statements/request doc/ serviceType=requestDocs/ID Auth/ID Auth True,Finance Exception code=else/Statement/no input no match/Xfer</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ht="30">
      <c r="A9" s="114">
        <v>2</v>
      </c>
      <c r="B9" s="110" t="s">
        <v>115</v>
      </c>
      <c r="C9" s="105" t="str">
        <f>VLOOKUP(Table257519913140106110114[[#This Row],[PEG]],Table1016[#All],2,FALSE)</f>
        <v>0100.wav Thank you for calling Shell vacations Club, we are glad you called. Please have your account number available for faster service. [To continue in Spanish, press 9]</v>
      </c>
      <c r="D9" s="149">
        <v>100</v>
      </c>
      <c r="E9" s="122" t="str">
        <f>VLOOKUP(Table257519913140106110114[[#This Row],[PEG]],Table1016[#All],3,FALSE)</f>
        <v>PLAY PROMPT</v>
      </c>
    </row>
    <row r="10" spans="1:5" ht="30">
      <c r="A10" s="114">
        <v>3</v>
      </c>
      <c r="B10" s="110" t="s">
        <v>115</v>
      </c>
      <c r="C10" s="105" t="str">
        <f>VLOOKUP(Table257519913140106110114[[#This Row],[PEG]],Table1016[#All],2,FALSE)</f>
        <v>0110-1.wav Which would you like? You can say... reservations, payments &amp; statements, title &amp; ownership changes, or more options.</v>
      </c>
      <c r="D10" s="149">
        <v>110</v>
      </c>
      <c r="E10" s="122" t="str">
        <f>VLOOKUP(Table257519913140106110114[[#This Row],[PEG]],Table1016[#All],3,FALSE)</f>
        <v>MENU PROMPT</v>
      </c>
    </row>
    <row r="11" spans="1:5">
      <c r="A11" s="114">
        <v>4</v>
      </c>
      <c r="B11" s="110" t="s">
        <v>124</v>
      </c>
      <c r="C11" s="151" t="s">
        <v>565</v>
      </c>
      <c r="D11" s="149"/>
      <c r="E11" s="122" t="e">
        <f>VLOOKUP(Table257519913140106110114[[#This Row],[PEG]],Table1016[#All],3,FALSE)</f>
        <v>#N/A</v>
      </c>
    </row>
    <row r="12" spans="1:5" ht="30">
      <c r="A12" s="114">
        <v>5</v>
      </c>
      <c r="B12" s="110" t="s">
        <v>115</v>
      </c>
      <c r="C12" s="105" t="str">
        <f>VLOOKUP(Table257519913140106110114[[#This Row],[PEG]],Table1016[#All],2,FALSE)</f>
        <v>400.wav You can say make a payment, check account status, request a document, or more options. Which would you like?</v>
      </c>
      <c r="D12" s="149">
        <v>400</v>
      </c>
      <c r="E12" s="122" t="str">
        <f>VLOOKUP(Table257519913140106110114[[#This Row],[PEG]],Table1016[#All],3,FALSE)</f>
        <v>MENU PROMPT</v>
      </c>
    </row>
    <row r="13" spans="1:5">
      <c r="A13" s="114">
        <v>6</v>
      </c>
      <c r="B13" s="110" t="s">
        <v>124</v>
      </c>
      <c r="C13" s="151" t="s">
        <v>616</v>
      </c>
      <c r="D13" s="149"/>
      <c r="E13" s="122" t="e">
        <f>VLOOKUP(Table257519913140106110114[[#This Row],[PEG]],Table1016[#All],3,FALSE)</f>
        <v>#N/A</v>
      </c>
    </row>
    <row r="14" spans="1:5">
      <c r="A14" s="114">
        <v>7</v>
      </c>
      <c r="B14" s="110" t="s">
        <v>115</v>
      </c>
      <c r="C14" s="105" t="str">
        <f>VLOOKUP(Table257519913140106110114[[#This Row],[PEG]],Table1016[#All],2,FALSE)</f>
        <v>0200-1.wav To get started, what is your account number?</v>
      </c>
      <c r="D14" s="149">
        <v>200</v>
      </c>
      <c r="E14" s="122" t="str">
        <f>VLOOKUP(Table257519913140106110114[[#This Row],[PEG]],Table1016[#All],3,FALSE)</f>
        <v>MENU PROMPT</v>
      </c>
    </row>
    <row r="15" spans="1:5">
      <c r="A15" s="114">
        <v>8</v>
      </c>
      <c r="B15" s="110" t="s">
        <v>114</v>
      </c>
      <c r="C15" s="151" t="s">
        <v>515</v>
      </c>
      <c r="D15" s="112"/>
      <c r="E15" s="122" t="e">
        <f>VLOOKUP(Table257519913140106110114[[#This Row],[PEG]],Table1016[#All],3,FALSE)</f>
        <v>#N/A</v>
      </c>
    </row>
    <row r="16" spans="1:5">
      <c r="A16" s="114">
        <v>9</v>
      </c>
      <c r="B16" s="110" t="s">
        <v>115</v>
      </c>
      <c r="C16" s="105" t="str">
        <f>VLOOKUP(Table257519913140106110114[[#This Row],[PEG]],Table1016[#All],2,FALSE)</f>
        <v>0210-1.wav And the date of birth for the primary owner?</v>
      </c>
      <c r="D16" s="112">
        <v>210</v>
      </c>
      <c r="E16" s="122" t="str">
        <f>VLOOKUP(Table257519913140106110114[[#This Row],[PEG]],Table1016[#All],3,FALSE)</f>
        <v>MENU PROMPT</v>
      </c>
    </row>
    <row r="17" spans="1:5">
      <c r="A17" s="114">
        <v>10</v>
      </c>
      <c r="B17" s="110" t="s">
        <v>124</v>
      </c>
      <c r="C17" s="151" t="s">
        <v>614</v>
      </c>
      <c r="D17" s="113"/>
      <c r="E17" s="122" t="e">
        <f>VLOOKUP(Table257519913140106110114[[#This Row],[PEG]],Table1016[#All],3,FALSE)</f>
        <v>#N/A</v>
      </c>
    </row>
    <row r="18" spans="1:5" ht="30">
      <c r="A18" s="114">
        <v>11</v>
      </c>
      <c r="B18" s="110" t="s">
        <v>115</v>
      </c>
      <c r="C18" s="105" t="str">
        <f>VLOOKUP(Table257519913140106110114[[#This Row],[PEG]],Table1016[#All],2,FALSE)</f>
        <v xml:space="preserve">0470.wav Which document would you like? You can say pay-off quote, statements, cancellation letter or tax documents. </v>
      </c>
      <c r="D18" s="113">
        <v>470</v>
      </c>
      <c r="E18" s="122" t="str">
        <f>VLOOKUP(Table257519913140106110114[[#This Row],[PEG]],Table1016[#All],3,FALSE)</f>
        <v>MENU PROMPT</v>
      </c>
    </row>
    <row r="19" spans="1:5">
      <c r="A19" s="114">
        <v>12</v>
      </c>
      <c r="B19" s="110" t="s">
        <v>124</v>
      </c>
      <c r="C19" s="151" t="s">
        <v>564</v>
      </c>
      <c r="D19" s="113"/>
      <c r="E19" s="122" t="e">
        <f>VLOOKUP(Table257519913140106110114[[#This Row],[PEG]],Table1016[#All],3,FALSE)</f>
        <v>#N/A</v>
      </c>
    </row>
    <row r="20" spans="1:5" ht="30">
      <c r="A20" s="114">
        <v>13</v>
      </c>
      <c r="B20" s="110" t="s">
        <v>115</v>
      </c>
      <c r="C20" s="105" t="str">
        <f>VLOOKUP(Table257519913140106110114[[#This Row],[PEG]],Table1016[#All],2,FALSE)</f>
        <v>0480.wav I can send you a copy of your most recent annual statement, or a copy of your most recent monthly statement. Which one would you like, annual or monthly?</v>
      </c>
      <c r="D20" s="113">
        <v>480</v>
      </c>
      <c r="E20" s="122" t="str">
        <f>VLOOKUP(Table257519913140106110114[[#This Row],[PEG]],Table1016[#All],3,FALSE)</f>
        <v>MENU PROMPT</v>
      </c>
    </row>
    <row r="21" spans="1:5">
      <c r="A21" s="114">
        <v>14</v>
      </c>
      <c r="B21" s="110" t="s">
        <v>12</v>
      </c>
      <c r="C21" s="151" t="s">
        <v>607</v>
      </c>
      <c r="D21" s="113"/>
      <c r="E21" s="122" t="e">
        <f>VLOOKUP(Table257519913140106110114[[#This Row],[PEG]],Table1016[#All],3,FALSE)</f>
        <v>#N/A</v>
      </c>
    </row>
    <row r="22" spans="1:5">
      <c r="A22" s="114">
        <v>15</v>
      </c>
      <c r="B22" s="110" t="s">
        <v>115</v>
      </c>
      <c r="C22" s="105" t="str">
        <f>VLOOKUP(Table257519913140106110114[[#This Row],[PEG]],Table1016[#All],2,FALSE)</f>
        <v>Sorry.</v>
      </c>
      <c r="D22" s="113" t="s">
        <v>295</v>
      </c>
      <c r="E22" s="122" t="str">
        <f>VLOOKUP(Table257519913140106110114[[#This Row],[PEG]],Table1016[#All],3,FALSE)</f>
        <v>PLAY PROMPT</v>
      </c>
    </row>
    <row r="23" spans="1:5" ht="30">
      <c r="A23" s="114">
        <v>16</v>
      </c>
      <c r="B23" s="110" t="s">
        <v>115</v>
      </c>
      <c r="C23" s="105" t="str">
        <f>VLOOKUP(Table257519913140106110114[[#This Row],[PEG]],Table1016[#All],2,FALSE)</f>
        <v>0480SelectStatementRetry.wav  To receive a copy of your most recent annual statement, press 1. For you most recent monthly statement, 2. To speak to a representative, press 0.</v>
      </c>
      <c r="D23" s="113" t="s">
        <v>388</v>
      </c>
      <c r="E23" s="122" t="str">
        <f>VLOOKUP(Table257519913140106110114[[#This Row],[PEG]],Table1016[#All],3,FALSE)</f>
        <v>MENU PROMPT</v>
      </c>
    </row>
    <row r="24" spans="1:5">
      <c r="A24" s="114">
        <v>17</v>
      </c>
      <c r="B24" s="110" t="s">
        <v>114</v>
      </c>
      <c r="C24" s="151" t="s">
        <v>1</v>
      </c>
      <c r="D24" s="113"/>
      <c r="E24" s="122" t="e">
        <f>VLOOKUP(Table257519913140106110114[[#This Row],[PEG]],Table1016[#All],3,FALSE)</f>
        <v>#N/A</v>
      </c>
    </row>
    <row r="25" spans="1:5">
      <c r="A25" s="114">
        <v>18</v>
      </c>
      <c r="B25" s="110" t="s">
        <v>115</v>
      </c>
      <c r="C25" s="105" t="str">
        <f>VLOOKUP(Table257519913140106110114[[#This Row],[PEG]],Table1016[#All],2,FALSE)</f>
        <v>Sorry, I'm having trouble</v>
      </c>
      <c r="D25" s="113" t="s">
        <v>297</v>
      </c>
      <c r="E25" s="122" t="str">
        <f>VLOOKUP(Table257519913140106110114[[#This Row],[PEG]],Table1016[#All],3,FALSE)</f>
        <v>PLAY PROMPT</v>
      </c>
    </row>
    <row r="26" spans="1:5">
      <c r="A26" s="114">
        <v>19</v>
      </c>
      <c r="B26" s="110" t="s">
        <v>12</v>
      </c>
      <c r="C26" s="105" t="str">
        <f>VLOOKUP(Table257519913140106110114[[#This Row],[PEG]],Table1016[#All],2,FALSE)</f>
        <v>0900.wav Please hold, while I connect you to a customer service representative.</v>
      </c>
      <c r="D26" s="113">
        <v>900</v>
      </c>
      <c r="E26" s="122" t="str">
        <f>VLOOKUP(Table257519913140106110114[[#This Row],[PEG]],Table1016[#All],3,FALSE)</f>
        <v>PLAY PROMPT</v>
      </c>
    </row>
    <row r="27" spans="1:5">
      <c r="A27" s="114">
        <v>20</v>
      </c>
      <c r="B27" s="110" t="s">
        <v>115</v>
      </c>
      <c r="C27" s="105" t="str">
        <f>VLOOKUP(Table257519913140106110114[[#This Row],[PEG]],Table1016[#All],2,FALSE)</f>
        <v>XferNbr.wav Transfer Number &lt;TransferNbr&gt;</v>
      </c>
      <c r="D27" s="113" t="s">
        <v>480</v>
      </c>
      <c r="E27" s="122" t="str">
        <f>VLOOKUP(Table257519913140106110114[[#This Row],[PEG]],Table1016[#All],3,FALSE)</f>
        <v>TEST</v>
      </c>
    </row>
    <row r="28" spans="1:5">
      <c r="A28" s="114">
        <v>21</v>
      </c>
      <c r="B28" s="110" t="s">
        <v>13</v>
      </c>
      <c r="C28" s="17" t="s">
        <v>13</v>
      </c>
      <c r="D28" s="111"/>
      <c r="E28" s="31"/>
    </row>
  </sheetData>
  <mergeCells count="1">
    <mergeCell ref="A1:B1"/>
  </mergeCells>
  <conditionalFormatting sqref="B8 B28">
    <cfRule type="containsText" dxfId="2694" priority="9" operator="containsText" text="Hear">
      <formula>NOT(ISERROR(SEARCH("Hear",B8)))</formula>
    </cfRule>
  </conditionalFormatting>
  <conditionalFormatting sqref="E28">
    <cfRule type="containsText" dxfId="2693" priority="14" operator="containsText" text="WEB SERVICE">
      <formula>NOT(ISERROR(SEARCH("WEB SERVICE",E28)))</formula>
    </cfRule>
    <cfRule type="containsText" dxfId="2692" priority="15" operator="containsText" text="DB">
      <formula>NOT(ISERROR(SEARCH("DB",E28)))</formula>
    </cfRule>
  </conditionalFormatting>
  <conditionalFormatting sqref="C28">
    <cfRule type="expression" dxfId="2691" priority="17">
      <formula>$B28="Dial"</formula>
    </cfRule>
    <cfRule type="expression" dxfId="2690" priority="19">
      <formula>$B28="HANGUP"</formula>
    </cfRule>
  </conditionalFormatting>
  <conditionalFormatting sqref="C28">
    <cfRule type="expression" dxfId="2689" priority="18">
      <formula>$B28="Speak"</formula>
    </cfRule>
  </conditionalFormatting>
  <conditionalFormatting sqref="B25:B27">
    <cfRule type="containsText" dxfId="2688" priority="13" operator="containsText" text="Hear">
      <formula>NOT(ISERROR(SEARCH("Hear",B25)))</formula>
    </cfRule>
  </conditionalFormatting>
  <conditionalFormatting sqref="B9:B18">
    <cfRule type="containsText" dxfId="2687" priority="7" operator="containsText" text="Hear">
      <formula>NOT(ISERROR(SEARCH("Hear",B9)))</formula>
    </cfRule>
  </conditionalFormatting>
  <conditionalFormatting sqref="B19:B24">
    <cfRule type="containsText" dxfId="2686" priority="8" operator="containsText" text="Hear">
      <formula>NOT(ISERROR(SEARCH("Hear",B19)))</formula>
    </cfRule>
  </conditionalFormatting>
  <hyperlinks>
    <hyperlink ref="A1" location="'Test Case Overview'!A1" display="Return to Test Case Overview" xr:uid="{00000000-0004-0000-6F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0" id="{5B9CD5D9-3108-4648-A895-2BFA2176F0E1}">
            <xm:f>'TC1'!$B8="Speak"</xm:f>
            <x14:dxf>
              <font>
                <b/>
                <i val="0"/>
                <color rgb="FFFF0000"/>
              </font>
            </x14:dxf>
          </x14:cfRule>
          <xm:sqref>C8</xm:sqref>
        </x14:conditionalFormatting>
        <x14:conditionalFormatting xmlns:xm="http://schemas.microsoft.com/office/excel/2006/main">
          <x14:cfRule type="containsText" priority="10" operator="containsText" text="WEB SERVICE" id="{D132AEE4-6B8C-4E28-9EE6-C8CEE2654E8A}">
            <xm:f>NOT(ISERROR(SEARCH("WEB SERVICE",'TC1'!E10)))</xm:f>
            <x14:dxf>
              <font>
                <color rgb="FF9C0006"/>
              </font>
              <fill>
                <patternFill>
                  <bgColor rgb="FFFFC7CE"/>
                </patternFill>
              </fill>
            </x14:dxf>
          </x14:cfRule>
          <x14:cfRule type="containsText" priority="21" operator="containsText" text="DB" id="{A26FD4F8-B290-49FA-954A-B1E945FF044E}">
            <xm:f>NOT(ISERROR(SEARCH("DB",'TC1'!E10)))</xm:f>
            <x14:dxf>
              <font>
                <color rgb="FF006100"/>
              </font>
              <fill>
                <patternFill>
                  <bgColor rgb="FFC6EFCE"/>
                </patternFill>
              </fill>
            </x14:dxf>
          </x14:cfRule>
          <xm:sqref>E9:E12</xm:sqref>
        </x14:conditionalFormatting>
        <x14:conditionalFormatting xmlns:xm="http://schemas.microsoft.com/office/excel/2006/main">
          <x14:cfRule type="expression" priority="24" id="{457463E1-7D1B-42D7-A1AD-500897E435DD}">
            <xm:f>'TC1'!$B8="Dial"</xm:f>
            <x14:dxf>
              <font>
                <b/>
                <i val="0"/>
                <color rgb="FFFF0000"/>
              </font>
            </x14:dxf>
          </x14:cfRule>
          <x14:cfRule type="expression" priority="24" id="{74E068F7-98EE-48CA-A770-225975D47D6F}">
            <xm:f>'TC1'!$B8="HANGUP"</xm:f>
            <x14:dxf>
              <font>
                <b/>
                <i val="0"/>
              </font>
            </x14:dxf>
          </x14:cfRule>
          <xm:sqref>C8</xm:sqref>
        </x14:conditionalFormatting>
        <x14:conditionalFormatting xmlns:xm="http://schemas.microsoft.com/office/excel/2006/main">
          <x14:cfRule type="expression" priority="2494" id="{5B9CD5D9-3108-4648-A895-2BFA2176F0E1}">
            <xm:f>'TC1'!#REF!="Speak"</xm:f>
            <x14:dxf>
              <font>
                <b/>
                <i val="0"/>
                <color rgb="FFFF0000"/>
              </font>
            </x14:dxf>
          </x14:cfRule>
          <xm:sqref>C13:C14 C16 C18:C27</xm:sqref>
        </x14:conditionalFormatting>
        <x14:conditionalFormatting xmlns:xm="http://schemas.microsoft.com/office/excel/2006/main">
          <x14:cfRule type="containsText" priority="2500" operator="containsText" text="WEB SERVICE" id="{D132AEE4-6B8C-4E28-9EE6-C8CEE2654E8A}">
            <xm:f>NOT(ISERROR(SEARCH("WEB SERVICE",'TC1'!#REF!)))</xm:f>
            <x14:dxf>
              <font>
                <color rgb="FF9C0006"/>
              </font>
              <fill>
                <patternFill>
                  <bgColor rgb="FFFFC7CE"/>
                </patternFill>
              </fill>
            </x14:dxf>
          </x14:cfRule>
          <x14:cfRule type="containsText" priority="2501" operator="containsText" text="DB" id="{A26FD4F8-B290-49FA-954A-B1E945FF044E}">
            <xm:f>NOT(ISERROR(SEARCH("DB",'TC1'!#REF!)))</xm:f>
            <x14:dxf>
              <font>
                <color rgb="FF006100"/>
              </font>
              <fill>
                <patternFill>
                  <bgColor rgb="FFC6EFCE"/>
                </patternFill>
              </fill>
            </x14:dxf>
          </x14:cfRule>
          <xm:sqref>E13:E27</xm:sqref>
        </x14:conditionalFormatting>
        <x14:conditionalFormatting xmlns:xm="http://schemas.microsoft.com/office/excel/2006/main">
          <x14:cfRule type="expression" priority="2508" id="{457463E1-7D1B-42D7-A1AD-500897E435DD}">
            <xm:f>'TC1'!#REF!="Dial"</xm:f>
            <x14:dxf>
              <font>
                <b/>
                <i val="0"/>
                <color rgb="FFFF0000"/>
              </font>
            </x14:dxf>
          </x14:cfRule>
          <x14:cfRule type="expression" priority="2509" id="{74E068F7-98EE-48CA-A770-225975D47D6F}">
            <xm:f>'TC1'!#REF!="HANGUP"</xm:f>
            <x14:dxf>
              <font>
                <b/>
                <i val="0"/>
              </font>
            </x14:dxf>
          </x14:cfRule>
          <xm:sqref>C13:C14 C16 C18:C27</xm:sqref>
        </x14:conditionalFormatting>
        <x14:conditionalFormatting xmlns:xm="http://schemas.microsoft.com/office/excel/2006/main">
          <x14:cfRule type="expression" priority="4253" id="{5B9CD5D9-3108-4648-A895-2BFA2176F0E1}">
            <xm:f>'TC1'!$B10="Speak"</xm:f>
            <x14:dxf>
              <font>
                <b/>
                <i val="0"/>
                <color rgb="FFFF0000"/>
              </font>
            </x14:dxf>
          </x14:cfRule>
          <xm:sqref>C9:C12</xm:sqref>
        </x14:conditionalFormatting>
        <x14:conditionalFormatting xmlns:xm="http://schemas.microsoft.com/office/excel/2006/main">
          <x14:cfRule type="expression" priority="4258" id="{457463E1-7D1B-42D7-A1AD-500897E435DD}">
            <xm:f>'TC1'!$B10="Dial"</xm:f>
            <x14:dxf>
              <font>
                <b/>
                <i val="0"/>
                <color rgb="FFFF0000"/>
              </font>
            </x14:dxf>
          </x14:cfRule>
          <x14:cfRule type="expression" priority="4259" id="{74E068F7-98EE-48CA-A770-225975D47D6F}">
            <xm:f>'TC1'!$B10="HANGUP"</xm:f>
            <x14:dxf>
              <font>
                <b/>
                <i val="0"/>
              </font>
            </x14:dxf>
          </x14:cfRule>
          <xm:sqref>C9:C12</xm:sqref>
        </x14:conditionalFormatting>
        <x14:conditionalFormatting xmlns:xm="http://schemas.microsoft.com/office/excel/2006/main">
          <x14:cfRule type="expression" priority="4" id="{BA9BB0FE-600B-4F11-9443-2240B1151895}">
            <xm:f>'\Users\deannah\Wyndham Testing\[Wyndham Destinations_TestCaseOverview_V3_Template.xlsx]TC1'!#REF!="HANGUP"</xm:f>
            <x14:dxf>
              <font>
                <b/>
                <i val="0"/>
              </font>
            </x14:dxf>
          </x14:cfRule>
          <x14:cfRule type="expression" priority="5" id="{9DCBCEFC-47E9-42EF-9ABC-0BD3B4BDFDFD}">
            <xm:f>'\Users\deannah\Wyndham Testing\[Wyndham Destinations_TestCaseOverview_V3_Template.xlsx]TC1'!#REF!="Dial"</xm:f>
            <x14:dxf>
              <font>
                <b/>
                <i val="0"/>
                <color rgb="FFFF0000"/>
              </font>
            </x14:dxf>
          </x14:cfRule>
          <xm:sqref>C15</xm:sqref>
        </x14:conditionalFormatting>
        <x14:conditionalFormatting xmlns:xm="http://schemas.microsoft.com/office/excel/2006/main">
          <x14:cfRule type="expression" priority="6" id="{5FFA08ED-D7A1-4894-9931-E4D71E1A68BB}">
            <xm:f>'\Users\deannah\Wyndham Testing\[Wyndham Destinations_TestCaseOverview_V3_Template.xlsx]TC1'!#REF!="Speak"</xm:f>
            <x14:dxf>
              <font>
                <b/>
                <i val="0"/>
                <color rgb="FFFF0000"/>
              </font>
            </x14:dxf>
          </x14:cfRule>
          <xm:sqref>C15</xm:sqref>
        </x14:conditionalFormatting>
        <x14:conditionalFormatting xmlns:xm="http://schemas.microsoft.com/office/excel/2006/main">
          <x14:cfRule type="expression" priority="1" id="{045E43EB-4714-4CA0-B786-24F00DD7DC12}">
            <xm:f>'\Users\deannah\Wyndham Testing\[Wyndham Destinations_TestCaseOverview_V3_Template.xlsx]TC1'!#REF!="HANGUP"</xm:f>
            <x14:dxf>
              <font>
                <b/>
                <i val="0"/>
              </font>
            </x14:dxf>
          </x14:cfRule>
          <x14:cfRule type="expression" priority="2" id="{6D046E23-980C-4E48-B551-758DE95B5659}">
            <xm:f>'\Users\deannah\Wyndham Testing\[Wyndham Destinations_TestCaseOverview_V3_Template.xlsx]TC1'!#REF!="Dial"</xm:f>
            <x14:dxf>
              <font>
                <b/>
                <i val="0"/>
                <color rgb="FFFF0000"/>
              </font>
            </x14:dxf>
          </x14:cfRule>
          <xm:sqref>C17</xm:sqref>
        </x14:conditionalFormatting>
        <x14:conditionalFormatting xmlns:xm="http://schemas.microsoft.com/office/excel/2006/main">
          <x14:cfRule type="expression" priority="3" id="{34193797-70D7-448F-9E7B-56692A46427B}">
            <xm:f>'\Users\deannah\Wyndham Testing\[Wyndham Destinations_TestCaseOverview_V3_Template.xlsx]TC1'!#REF!="Speak"</xm:f>
            <x14:dxf>
              <font>
                <b/>
                <i val="0"/>
                <color rgb="FFFF0000"/>
              </font>
            </x14:dxf>
          </x14:cfRule>
          <xm:sqref>C17</xm:sqref>
        </x14:conditionalFormatting>
      </x14:conditionalFormattings>
    </ext>
  </extLst>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sheetPr codeName="Sheet114"/>
  <dimension ref="A1:E29"/>
  <sheetViews>
    <sheetView zoomScaleNormal="100" workbookViewId="0">
      <selection activeCell="C5" sqref="C5"/>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TC112</v>
      </c>
      <c r="C2" s="94"/>
      <c r="D2" s="107"/>
      <c r="E2" s="93"/>
    </row>
    <row r="3" spans="1:5">
      <c r="A3" s="100" t="s">
        <v>19</v>
      </c>
      <c r="B3" s="108">
        <f ca="1">VLOOKUP(B2,Table1[#All],2,FALSE)</f>
        <v>0</v>
      </c>
      <c r="C3" s="94"/>
      <c r="D3" s="107"/>
      <c r="E3" s="93"/>
    </row>
    <row r="4" spans="1:5" ht="30">
      <c r="A4" s="109" t="s">
        <v>20</v>
      </c>
      <c r="B4" s="95" t="str">
        <f ca="1">VLOOKUP(B2,Table1[#All],4,FALSE)</f>
        <v>serviceType=RequestDocs, 1098 msg not active, PO</v>
      </c>
      <c r="C4" s="94"/>
      <c r="D4" s="107"/>
      <c r="E4" s="93"/>
    </row>
    <row r="5" spans="1:5" ht="75">
      <c r="A5" s="100" t="s">
        <v>6</v>
      </c>
      <c r="B5" s="75" t="str">
        <f ca="1">VLOOKUP(B2,Table1[#All],3,FALSE)</f>
        <v>CallStart Main Menu/Pmts and Statements/request doc/ serviceType=requestDocs/ID Auth/ID Auth True,Finance Exception code=else/Payoff/ no input 2X/Xfer</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VLOOKUP(Table257519913140106110118[[#This Row],[PEG]],Table1016[#All],2,FALSE)</f>
        <v>CallID.wav Call ID &lt;CallID&gt;</v>
      </c>
      <c r="D9" s="149" t="s">
        <v>477</v>
      </c>
      <c r="E9" s="122" t="str">
        <f>VLOOKUP(Table257519913140106110118[[#This Row],[PEG]],Table1016[#All],3,FALSE)</f>
        <v>TEST</v>
      </c>
    </row>
    <row r="10" spans="1:5" ht="30">
      <c r="A10" s="114">
        <v>3</v>
      </c>
      <c r="B10" s="110" t="s">
        <v>115</v>
      </c>
      <c r="C10" s="105" t="str">
        <f>VLOOKUP(Table257519913140106110118[[#This Row],[PEG]],Table1016[#All],2,FALSE)</f>
        <v>0100.wav Thank you for calling Shell vacations Club, we are glad you called. Please have your account number available for faster service. [To continue in Spanish, press 9]</v>
      </c>
      <c r="D10" s="149">
        <v>100</v>
      </c>
      <c r="E10" s="122" t="str">
        <f>VLOOKUP(Table257519913140106110118[[#This Row],[PEG]],Table1016[#All],3,FALSE)</f>
        <v>PLAY PROMPT</v>
      </c>
    </row>
    <row r="11" spans="1:5" ht="30">
      <c r="A11" s="114">
        <v>4</v>
      </c>
      <c r="B11" s="110" t="s">
        <v>115</v>
      </c>
      <c r="C11" s="105" t="str">
        <f>VLOOKUP(Table257519913140106110118[[#This Row],[PEG]],Table1016[#All],2,FALSE)</f>
        <v>0110-1.wav Which would you like? You can say... reservations, payments &amp; statements, title &amp; ownership changes, or more options.</v>
      </c>
      <c r="D11" s="149">
        <v>110</v>
      </c>
      <c r="E11" s="122" t="str">
        <f>VLOOKUP(Table257519913140106110118[[#This Row],[PEG]],Table1016[#All],3,FALSE)</f>
        <v>MENU PROMPT</v>
      </c>
    </row>
    <row r="12" spans="1:5">
      <c r="A12" s="114">
        <v>5</v>
      </c>
      <c r="B12" s="110" t="s">
        <v>124</v>
      </c>
      <c r="C12" s="158" t="s">
        <v>565</v>
      </c>
      <c r="D12" s="149"/>
      <c r="E12" s="122" t="e">
        <f>VLOOKUP(Table257519913140106110118[[#This Row],[PEG]],Table1016[#All],3,FALSE)</f>
        <v>#N/A</v>
      </c>
    </row>
    <row r="13" spans="1:5" ht="30">
      <c r="A13" s="114">
        <v>6</v>
      </c>
      <c r="B13" s="110" t="s">
        <v>115</v>
      </c>
      <c r="C13" s="105" t="str">
        <f>VLOOKUP(Table257519913140106110118[[#This Row],[PEG]],Table1016[#All],2,FALSE)</f>
        <v>400.wav You can say make a payment, check account status, request a document, or more options. Which would you like?</v>
      </c>
      <c r="D13" s="149">
        <v>400</v>
      </c>
      <c r="E13" s="122" t="str">
        <f>VLOOKUP(Table257519913140106110118[[#This Row],[PEG]],Table1016[#All],3,FALSE)</f>
        <v>MENU PROMPT</v>
      </c>
    </row>
    <row r="14" spans="1:5">
      <c r="A14" s="114">
        <v>7</v>
      </c>
      <c r="B14" s="110" t="s">
        <v>124</v>
      </c>
      <c r="C14" s="151" t="s">
        <v>575</v>
      </c>
      <c r="D14" s="125"/>
      <c r="E14" s="122" t="e">
        <f>VLOOKUP(Table257519913140106110118[[#This Row],[PEG]],Table1016[#All],3,FALSE)</f>
        <v>#N/A</v>
      </c>
    </row>
    <row r="15" spans="1:5">
      <c r="A15" s="114">
        <v>8</v>
      </c>
      <c r="B15" s="110" t="s">
        <v>115</v>
      </c>
      <c r="C15" s="105" t="str">
        <f>VLOOKUP(Table257519913140106110118[[#This Row],[PEG]],Table1016[#All],2,FALSE)</f>
        <v>0200-1.wav To get started, what is your account number?</v>
      </c>
      <c r="D15" s="112">
        <v>200</v>
      </c>
      <c r="E15" s="122" t="str">
        <f>VLOOKUP(Table257519913140106110118[[#This Row],[PEG]],Table1016[#All],3,FALSE)</f>
        <v>MENU PROMPT</v>
      </c>
    </row>
    <row r="16" spans="1:5">
      <c r="A16" s="114">
        <v>9</v>
      </c>
      <c r="B16" s="110" t="s">
        <v>114</v>
      </c>
      <c r="C16" s="151" t="s">
        <v>515</v>
      </c>
      <c r="D16" s="112"/>
      <c r="E16" s="122" t="e">
        <f>VLOOKUP(Table257519913140106110118[[#This Row],[PEG]],Table1016[#All],3,FALSE)</f>
        <v>#N/A</v>
      </c>
    </row>
    <row r="17" spans="1:5">
      <c r="A17" s="114">
        <v>10</v>
      </c>
      <c r="B17" s="110" t="s">
        <v>12</v>
      </c>
      <c r="C17" s="105" t="str">
        <f>VLOOKUP(Table257519913140106110118[[#This Row],[PEG]],Table1016[#All],2,FALSE)</f>
        <v>0210-1.wav And the date of birth for the primary owner?</v>
      </c>
      <c r="D17" s="113">
        <v>210</v>
      </c>
      <c r="E17" s="122" t="str">
        <f>VLOOKUP(Table257519913140106110118[[#This Row],[PEG]],Table1016[#All],3,FALSE)</f>
        <v>MENU PROMPT</v>
      </c>
    </row>
    <row r="18" spans="1:5">
      <c r="A18" s="114">
        <v>11</v>
      </c>
      <c r="B18" s="110" t="s">
        <v>124</v>
      </c>
      <c r="C18" s="151" t="s">
        <v>614</v>
      </c>
      <c r="D18" s="113"/>
      <c r="E18" s="122" t="e">
        <f>VLOOKUP(Table257519913140106110118[[#This Row],[PEG]],Table1016[#All],3,FALSE)</f>
        <v>#N/A</v>
      </c>
    </row>
    <row r="19" spans="1:5" ht="30">
      <c r="A19" s="114">
        <v>12</v>
      </c>
      <c r="B19" s="110" t="s">
        <v>115</v>
      </c>
      <c r="C19" s="105" t="str">
        <f>VLOOKUP(Table257519913140106110118[[#This Row],[PEG]],Table1016[#All],2,FALSE)</f>
        <v xml:space="preserve">0470.wav Which document would you like? You can say pay-off quote, statements, cancellation letter or tax documents. </v>
      </c>
      <c r="D19" s="113">
        <v>470</v>
      </c>
      <c r="E19" s="122" t="str">
        <f>VLOOKUP(Table257519913140106110118[[#This Row],[PEG]],Table1016[#All],3,FALSE)</f>
        <v>MENU PROMPT</v>
      </c>
    </row>
    <row r="20" spans="1:5">
      <c r="A20" s="114">
        <v>13</v>
      </c>
      <c r="B20" s="110" t="s">
        <v>124</v>
      </c>
      <c r="C20" s="151" t="s">
        <v>592</v>
      </c>
      <c r="D20" s="113"/>
      <c r="E20" s="122" t="e">
        <f>VLOOKUP(Table257519913140106110118[[#This Row],[PEG]],Table1016[#All],3,FALSE)</f>
        <v>#N/A</v>
      </c>
    </row>
    <row r="21" spans="1:5" ht="30">
      <c r="A21" s="114">
        <v>14</v>
      </c>
      <c r="B21" s="110" t="s">
        <v>115</v>
      </c>
      <c r="C21" s="105" t="str">
        <f>VLOOKUP(Table257519913140106110118[[#This Row],[PEG]],Table1016[#All],2,FALSE)</f>
        <v>0485.wav Your current payoff amount is [amount]. Would you like me to send you a payoff letter with this information?</v>
      </c>
      <c r="D21" s="113">
        <v>485</v>
      </c>
      <c r="E21" s="122" t="str">
        <f>VLOOKUP(Table257519913140106110118[[#This Row],[PEG]],Table1016[#All],3,FALSE)</f>
        <v>MENU PROMPT</v>
      </c>
    </row>
    <row r="22" spans="1:5">
      <c r="A22" s="114">
        <v>15</v>
      </c>
      <c r="B22" s="110" t="s">
        <v>12</v>
      </c>
      <c r="C22" s="151" t="s">
        <v>607</v>
      </c>
      <c r="D22" s="113"/>
      <c r="E22" s="122" t="e">
        <f>VLOOKUP(Table257519913140106110118[[#This Row],[PEG]],Table1016[#All],3,FALSE)</f>
        <v>#N/A</v>
      </c>
    </row>
    <row r="23" spans="1:5">
      <c r="A23" s="114">
        <v>16</v>
      </c>
      <c r="B23" s="110" t="s">
        <v>115</v>
      </c>
      <c r="C23" s="105" t="str">
        <f>VLOOKUP(Table257519913140106110118[[#This Row],[PEG]],Table1016[#All],2,FALSE)</f>
        <v>Sorry.</v>
      </c>
      <c r="D23" s="113" t="s">
        <v>295</v>
      </c>
      <c r="E23" s="122" t="str">
        <f>VLOOKUP(Table257519913140106110118[[#This Row],[PEG]],Table1016[#All],3,FALSE)</f>
        <v>PLAY PROMPT</v>
      </c>
    </row>
    <row r="24" spans="1:5" ht="30">
      <c r="A24" s="114">
        <v>17</v>
      </c>
      <c r="B24" s="110" t="s">
        <v>115</v>
      </c>
      <c r="C24" s="105" t="str">
        <f>VLOOKUP(Table257519913140106110118[[#This Row],[PEG]],Table1016[#All],2,FALSE)</f>
        <v>0485CurrentPayoff.wav Your current payoff amount is [amount]. Would you like me to send you a payoff letter with this information?</v>
      </c>
      <c r="D24" s="113" t="s">
        <v>389</v>
      </c>
      <c r="E24" s="122" t="str">
        <f>VLOOKUP(Table257519913140106110118[[#This Row],[PEG]],Table1016[#All],3,FALSE)</f>
        <v>MENU PROMPT</v>
      </c>
    </row>
    <row r="25" spans="1:5">
      <c r="A25" s="114">
        <v>18</v>
      </c>
      <c r="B25" s="110" t="s">
        <v>12</v>
      </c>
      <c r="C25" s="151" t="s">
        <v>607</v>
      </c>
      <c r="D25" s="113"/>
      <c r="E25" s="122" t="e">
        <f>VLOOKUP(Table257519913140106110118[[#This Row],[PEG]],Table1016[#All],3,FALSE)</f>
        <v>#N/A</v>
      </c>
    </row>
    <row r="26" spans="1:5">
      <c r="A26" s="114">
        <v>19</v>
      </c>
      <c r="B26" s="110" t="s">
        <v>124</v>
      </c>
      <c r="C26" s="105" t="str">
        <f>VLOOKUP(Table257519913140106110118[[#This Row],[PEG]],Table1016[#All],2,FALSE)</f>
        <v>Sorry, I'm having trouble</v>
      </c>
      <c r="D26" s="113" t="s">
        <v>297</v>
      </c>
      <c r="E26" s="122" t="str">
        <f>VLOOKUP(Table257519913140106110118[[#This Row],[PEG]],Table1016[#All],3,FALSE)</f>
        <v>PLAY PROMPT</v>
      </c>
    </row>
    <row r="27" spans="1:5">
      <c r="A27" s="114">
        <v>20</v>
      </c>
      <c r="B27" s="110" t="s">
        <v>115</v>
      </c>
      <c r="C27" s="105" t="str">
        <f>VLOOKUP(Table257519913140106110118[[#This Row],[PEG]],Table1016[#All],2,FALSE)</f>
        <v>0900.wav Please hold, while I connect you to a customer service representative.</v>
      </c>
      <c r="D27" s="149">
        <v>900</v>
      </c>
      <c r="E27" s="122" t="str">
        <f>VLOOKUP(Table257519913140106110118[[#This Row],[PEG]],Table1016[#All],3,FALSE)</f>
        <v>PLAY PROMPT</v>
      </c>
    </row>
    <row r="28" spans="1:5">
      <c r="A28" s="114">
        <v>21</v>
      </c>
      <c r="B28" s="110" t="s">
        <v>115</v>
      </c>
      <c r="C28" s="105" t="str">
        <f>VLOOKUP(Table257519913140106110118[[#This Row],[PEG]],Table1016[#All],2,FALSE)</f>
        <v>XferNbr.wav Transfer Number &lt;TransferNbr&gt;</v>
      </c>
      <c r="D28" s="149" t="s">
        <v>480</v>
      </c>
      <c r="E28" s="122" t="str">
        <f>VLOOKUP(Table257519913140106110118[[#This Row],[PEG]],Table1016[#All],3,FALSE)</f>
        <v>TEST</v>
      </c>
    </row>
    <row r="29" spans="1:5">
      <c r="A29" s="114">
        <v>22</v>
      </c>
      <c r="B29" s="110" t="s">
        <v>13</v>
      </c>
      <c r="C29" s="17" t="s">
        <v>13</v>
      </c>
      <c r="D29" s="111"/>
      <c r="E29" s="31"/>
    </row>
  </sheetData>
  <mergeCells count="1">
    <mergeCell ref="A1:B1"/>
  </mergeCells>
  <conditionalFormatting sqref="B8 B29">
    <cfRule type="containsText" dxfId="2657" priority="11" operator="containsText" text="Hear">
      <formula>NOT(ISERROR(SEARCH("Hear",B8)))</formula>
    </cfRule>
  </conditionalFormatting>
  <conditionalFormatting sqref="E29">
    <cfRule type="containsText" dxfId="2656" priority="16" operator="containsText" text="WEB SERVICE">
      <formula>NOT(ISERROR(SEARCH("WEB SERVICE",E29)))</formula>
    </cfRule>
    <cfRule type="containsText" dxfId="2655" priority="17" operator="containsText" text="DB">
      <formula>NOT(ISERROR(SEARCH("DB",E29)))</formula>
    </cfRule>
  </conditionalFormatting>
  <conditionalFormatting sqref="C29">
    <cfRule type="expression" dxfId="2654" priority="19">
      <formula>$B29="Dial"</formula>
    </cfRule>
    <cfRule type="expression" dxfId="2653" priority="21">
      <formula>$B29="HANGUP"</formula>
    </cfRule>
  </conditionalFormatting>
  <conditionalFormatting sqref="C29">
    <cfRule type="expression" dxfId="2652" priority="20">
      <formula>$B29="Speak"</formula>
    </cfRule>
  </conditionalFormatting>
  <conditionalFormatting sqref="B26:B28">
    <cfRule type="containsText" dxfId="2651" priority="9" operator="containsText" text="Hear">
      <formula>NOT(ISERROR(SEARCH("Hear",B26)))</formula>
    </cfRule>
  </conditionalFormatting>
  <conditionalFormatting sqref="B23:B25">
    <cfRule type="containsText" dxfId="2650" priority="10" operator="containsText" text="Hear">
      <formula>NOT(ISERROR(SEARCH("Hear",B23)))</formula>
    </cfRule>
  </conditionalFormatting>
  <conditionalFormatting sqref="B9:B22">
    <cfRule type="containsText" dxfId="2649" priority="8" operator="containsText" text="Hear">
      <formula>NOT(ISERROR(SEARCH("Hear",B9)))</formula>
    </cfRule>
  </conditionalFormatting>
  <hyperlinks>
    <hyperlink ref="A1" location="'Test Case Overview'!A1" display="Return to Test Case Overview" xr:uid="{00000000-0004-0000-70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2" id="{54ED5F34-5099-49A8-B73C-581916DE9D24}">
            <xm:f>'TC1'!$B8="Speak"</xm:f>
            <x14:dxf>
              <font>
                <b/>
                <i val="0"/>
                <color rgb="FFFF0000"/>
              </font>
            </x14:dxf>
          </x14:cfRule>
          <xm:sqref>C8</xm:sqref>
        </x14:conditionalFormatting>
        <x14:conditionalFormatting xmlns:xm="http://schemas.microsoft.com/office/excel/2006/main">
          <x14:cfRule type="containsText" priority="12" operator="containsText" text="WEB SERVICE" id="{02684BD3-9FBD-437F-8EA4-EA1AED066D46}">
            <xm:f>NOT(ISERROR(SEARCH("WEB SERVICE",'TC1'!E10)))</xm:f>
            <x14:dxf>
              <font>
                <color rgb="FF9C0006"/>
              </font>
              <fill>
                <patternFill>
                  <bgColor rgb="FFFFC7CE"/>
                </patternFill>
              </fill>
            </x14:dxf>
          </x14:cfRule>
          <x14:cfRule type="containsText" priority="23" operator="containsText" text="DB" id="{50BFFAB9-C1A9-4B29-866F-D01D2F40CCA7}">
            <xm:f>NOT(ISERROR(SEARCH("DB",'TC1'!E10)))</xm:f>
            <x14:dxf>
              <font>
                <color rgb="FF006100"/>
              </font>
              <fill>
                <patternFill>
                  <bgColor rgb="FFC6EFCE"/>
                </patternFill>
              </fill>
            </x14:dxf>
          </x14:cfRule>
          <xm:sqref>E9:E12</xm:sqref>
        </x14:conditionalFormatting>
        <x14:conditionalFormatting xmlns:xm="http://schemas.microsoft.com/office/excel/2006/main">
          <x14:cfRule type="expression" priority="26" id="{323FC257-9BA4-4090-A45F-B9D6FB1290F3}">
            <xm:f>'TC1'!$B8="Dial"</xm:f>
            <x14:dxf>
              <font>
                <b/>
                <i val="0"/>
                <color rgb="FFFF0000"/>
              </font>
            </x14:dxf>
          </x14:cfRule>
          <x14:cfRule type="expression" priority="26" id="{D914DA85-20F3-43CE-9DDC-ED24F6D83ACB}">
            <xm:f>'TC1'!$B8="HANGUP"</xm:f>
            <x14:dxf>
              <font>
                <b/>
                <i val="0"/>
              </font>
            </x14:dxf>
          </x14:cfRule>
          <xm:sqref>C8</xm:sqref>
        </x14:conditionalFormatting>
        <x14:conditionalFormatting xmlns:xm="http://schemas.microsoft.com/office/excel/2006/main">
          <x14:cfRule type="expression" priority="2516" id="{54ED5F34-5099-49A8-B73C-581916DE9D24}">
            <xm:f>'TC1'!#REF!="Speak"</xm:f>
            <x14:dxf>
              <font>
                <b/>
                <i val="0"/>
                <color rgb="FFFF0000"/>
              </font>
            </x14:dxf>
          </x14:cfRule>
          <xm:sqref>C13:C15 C17 C19:C28</xm:sqref>
        </x14:conditionalFormatting>
        <x14:conditionalFormatting xmlns:xm="http://schemas.microsoft.com/office/excel/2006/main">
          <x14:cfRule type="containsText" priority="2522" operator="containsText" text="WEB SERVICE" id="{02684BD3-9FBD-437F-8EA4-EA1AED066D46}">
            <xm:f>NOT(ISERROR(SEARCH("WEB SERVICE",'TC1'!#REF!)))</xm:f>
            <x14:dxf>
              <font>
                <color rgb="FF9C0006"/>
              </font>
              <fill>
                <patternFill>
                  <bgColor rgb="FFFFC7CE"/>
                </patternFill>
              </fill>
            </x14:dxf>
          </x14:cfRule>
          <x14:cfRule type="containsText" priority="2523" operator="containsText" text="DB" id="{50BFFAB9-C1A9-4B29-866F-D01D2F40CCA7}">
            <xm:f>NOT(ISERROR(SEARCH("DB",'TC1'!#REF!)))</xm:f>
            <x14:dxf>
              <font>
                <color rgb="FF006100"/>
              </font>
              <fill>
                <patternFill>
                  <bgColor rgb="FFC6EFCE"/>
                </patternFill>
              </fill>
            </x14:dxf>
          </x14:cfRule>
          <xm:sqref>E13:E28</xm:sqref>
        </x14:conditionalFormatting>
        <x14:conditionalFormatting xmlns:xm="http://schemas.microsoft.com/office/excel/2006/main">
          <x14:cfRule type="expression" priority="2530" id="{323FC257-9BA4-4090-A45F-B9D6FB1290F3}">
            <xm:f>'TC1'!#REF!="Dial"</xm:f>
            <x14:dxf>
              <font>
                <b/>
                <i val="0"/>
                <color rgb="FFFF0000"/>
              </font>
            </x14:dxf>
          </x14:cfRule>
          <x14:cfRule type="expression" priority="2531" id="{D914DA85-20F3-43CE-9DDC-ED24F6D83ACB}">
            <xm:f>'TC1'!#REF!="HANGUP"</xm:f>
            <x14:dxf>
              <font>
                <b/>
                <i val="0"/>
              </font>
            </x14:dxf>
          </x14:cfRule>
          <xm:sqref>C13:C15 C17 C19:C28</xm:sqref>
        </x14:conditionalFormatting>
        <x14:conditionalFormatting xmlns:xm="http://schemas.microsoft.com/office/excel/2006/main">
          <x14:cfRule type="expression" priority="4263" id="{54ED5F34-5099-49A8-B73C-581916DE9D24}">
            <xm:f>'TC1'!$B10="Speak"</xm:f>
            <x14:dxf>
              <font>
                <b/>
                <i val="0"/>
                <color rgb="FFFF0000"/>
              </font>
            </x14:dxf>
          </x14:cfRule>
          <xm:sqref>C9:C12</xm:sqref>
        </x14:conditionalFormatting>
        <x14:conditionalFormatting xmlns:xm="http://schemas.microsoft.com/office/excel/2006/main">
          <x14:cfRule type="expression" priority="4268" id="{323FC257-9BA4-4090-A45F-B9D6FB1290F3}">
            <xm:f>'TC1'!$B10="Dial"</xm:f>
            <x14:dxf>
              <font>
                <b/>
                <i val="0"/>
                <color rgb="FFFF0000"/>
              </font>
            </x14:dxf>
          </x14:cfRule>
          <x14:cfRule type="expression" priority="4269" id="{D914DA85-20F3-43CE-9DDC-ED24F6D83ACB}">
            <xm:f>'TC1'!$B10="HANGUP"</xm:f>
            <x14:dxf>
              <font>
                <b/>
                <i val="0"/>
              </font>
            </x14:dxf>
          </x14:cfRule>
          <xm:sqref>C9:C12</xm:sqref>
        </x14:conditionalFormatting>
        <x14:conditionalFormatting xmlns:xm="http://schemas.microsoft.com/office/excel/2006/main">
          <x14:cfRule type="expression" priority="4" id="{FAC49F0F-FBE6-4D28-95F4-2D79212B1038}">
            <xm:f>'\Users\deannah\Wyndham Testing\[Wyndham Destinations_TestCaseOverview_V3_Template.xlsx]TC1'!#REF!="HANGUP"</xm:f>
            <x14:dxf>
              <font>
                <b/>
                <i val="0"/>
              </font>
            </x14:dxf>
          </x14:cfRule>
          <x14:cfRule type="expression" priority="5" id="{667B21F7-25AE-41FE-AF62-B1ABD5E1E5AF}">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6" id="{27F078AB-02F1-4D9C-9C78-95CC1B64FF9A}">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1" id="{49F59286-11F8-4ADC-B8FA-08F4CFAB752A}">
            <xm:f>'\Users\deannah\Wyndham Testing\[Wyndham Destinations_TestCaseOverview_V3_Template.xlsx]TC1'!#REF!="HANGUP"</xm:f>
            <x14:dxf>
              <font>
                <b/>
                <i val="0"/>
              </font>
            </x14:dxf>
          </x14:cfRule>
          <x14:cfRule type="expression" priority="2" id="{146EF208-CA96-4E92-A3BD-9D0D2B14BB28}">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3" id="{075B5B7E-700C-4F8E-B1A2-9516AAFD244E}">
            <xm:f>'\Users\deannah\Wyndham Testing\[Wyndham Destinations_TestCaseOverview_V3_Template.xlsx]TC1'!#REF!="Speak"</xm:f>
            <x14:dxf>
              <font>
                <b/>
                <i val="0"/>
                <color rgb="FFFF0000"/>
              </font>
            </x14:dxf>
          </x14:cfRule>
          <xm:sqref>C18</xm:sqref>
        </x14:conditionalFormatting>
      </x14:conditionalFormattings>
    </ext>
  </extLst>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sheetPr codeName="Sheet115"/>
  <dimension ref="A1:E29"/>
  <sheetViews>
    <sheetView zoomScaleNormal="100" workbookViewId="0">
      <selection activeCell="C3" sqref="C3"/>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TC113</v>
      </c>
      <c r="C2" s="94"/>
      <c r="D2" s="107"/>
      <c r="E2" s="93"/>
    </row>
    <row r="3" spans="1:5">
      <c r="A3" s="100" t="s">
        <v>19</v>
      </c>
      <c r="B3" s="108">
        <f ca="1">VLOOKUP(B2,Table1[#All],2,FALSE)</f>
        <v>0</v>
      </c>
      <c r="C3" s="94"/>
      <c r="D3" s="107"/>
      <c r="E3" s="93"/>
    </row>
    <row r="4" spans="1:5" ht="30">
      <c r="A4" s="109" t="s">
        <v>20</v>
      </c>
      <c r="B4" s="95" t="str">
        <f ca="1">VLOOKUP(B2,Table1[#All],4,FALSE)</f>
        <v xml:space="preserve">serviceType=RequestDocs, 1098 msg not active, Tax Docs </v>
      </c>
      <c r="C4" s="94"/>
      <c r="D4" s="107"/>
      <c r="E4" s="93"/>
    </row>
    <row r="5" spans="1:5" ht="75">
      <c r="A5" s="100" t="s">
        <v>6</v>
      </c>
      <c r="B5" s="75" t="str">
        <f ca="1">VLOOKUP(B2,Table1[#All],3,FALSE)</f>
        <v>CallStart Main Menu/Pmts and Statements/request doc/ serviceType=requestDocs/ID Auth/ID Auth True,Finance Exception code=else/Tax Docs/ no match 2X/Xfer</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VLOOKUP(Table257519913140106110122[[#This Row],[PEG]],Table1016[#All],2,FALSE)</f>
        <v>CallID.wav Call ID &lt;CallID&gt;</v>
      </c>
      <c r="D9" s="149" t="s">
        <v>477</v>
      </c>
      <c r="E9" s="122" t="str">
        <f>VLOOKUP(Table257519913140106110122[[#This Row],[PEG]],Table1016[#All],3,FALSE)</f>
        <v>TEST</v>
      </c>
    </row>
    <row r="10" spans="1:5" ht="30">
      <c r="A10" s="114">
        <v>3</v>
      </c>
      <c r="B10" s="110" t="s">
        <v>115</v>
      </c>
      <c r="C10" s="105" t="str">
        <f>VLOOKUP(Table257519913140106110122[[#This Row],[PEG]],Table1016[#All],2,FALSE)</f>
        <v>0100.wav Thank you for calling Shell vacations Club, we are glad you called. Please have your account number available for faster service. [To continue in Spanish, press 9]</v>
      </c>
      <c r="D10" s="149">
        <v>100</v>
      </c>
      <c r="E10" s="122" t="str">
        <f>VLOOKUP(Table257519913140106110122[[#This Row],[PEG]],Table1016[#All],3,FALSE)</f>
        <v>PLAY PROMPT</v>
      </c>
    </row>
    <row r="11" spans="1:5" ht="30">
      <c r="A11" s="114">
        <v>4</v>
      </c>
      <c r="B11" s="110" t="s">
        <v>115</v>
      </c>
      <c r="C11" s="105" t="str">
        <f>VLOOKUP(Table257519913140106110122[[#This Row],[PEG]],Table1016[#All],2,FALSE)</f>
        <v>0110-1.wav Which would you like? You can say... reservations, payments &amp; statements, title &amp; ownership changes, or more options.</v>
      </c>
      <c r="D11" s="149">
        <v>110</v>
      </c>
      <c r="E11" s="122" t="str">
        <f>VLOOKUP(Table257519913140106110122[[#This Row],[PEG]],Table1016[#All],3,FALSE)</f>
        <v>MENU PROMPT</v>
      </c>
    </row>
    <row r="12" spans="1:5">
      <c r="A12" s="114">
        <v>5</v>
      </c>
      <c r="B12" s="110" t="s">
        <v>124</v>
      </c>
      <c r="C12" s="105" t="e">
        <f>VLOOKUP(Table257519913140106110122[[#This Row],[PEG]],Table1016[#All],2,FALSE)</f>
        <v>#N/A</v>
      </c>
      <c r="D12" s="149"/>
      <c r="E12" s="122" t="e">
        <f>VLOOKUP(Table257519913140106110122[[#This Row],[PEG]],Table1016[#All],3,FALSE)</f>
        <v>#N/A</v>
      </c>
    </row>
    <row r="13" spans="1:5" ht="30">
      <c r="A13" s="114">
        <v>6</v>
      </c>
      <c r="B13" s="110" t="s">
        <v>115</v>
      </c>
      <c r="C13" s="105" t="str">
        <f>VLOOKUP(Table257519913140106110122[[#This Row],[PEG]],Table1016[#All],2,FALSE)</f>
        <v>400.wav You can say make a payment, check account status, request a document, or more options. Which would you like?</v>
      </c>
      <c r="D13" s="149">
        <v>400</v>
      </c>
      <c r="E13" s="122" t="str">
        <f>VLOOKUP(Table257519913140106110122[[#This Row],[PEG]],Table1016[#All],3,FALSE)</f>
        <v>MENU PROMPT</v>
      </c>
    </row>
    <row r="14" spans="1:5">
      <c r="A14" s="114">
        <v>7</v>
      </c>
      <c r="B14" s="110" t="s">
        <v>124</v>
      </c>
      <c r="C14" s="105" t="e">
        <f>VLOOKUP(Table257519913140106110122[[#This Row],[PEG]],Table1016[#All],2,FALSE)</f>
        <v>#N/A</v>
      </c>
      <c r="D14" s="125"/>
      <c r="E14" s="122" t="e">
        <f>VLOOKUP(Table257519913140106110122[[#This Row],[PEG]],Table1016[#All],3,FALSE)</f>
        <v>#N/A</v>
      </c>
    </row>
    <row r="15" spans="1:5">
      <c r="A15" s="114">
        <v>8</v>
      </c>
      <c r="B15" s="110" t="s">
        <v>115</v>
      </c>
      <c r="C15" s="105" t="str">
        <f>VLOOKUP(Table257519913140106110122[[#This Row],[PEG]],Table1016[#All],2,FALSE)</f>
        <v>0200-1.wav To get started, what is your account number?</v>
      </c>
      <c r="D15" s="112">
        <v>200</v>
      </c>
      <c r="E15" s="122" t="str">
        <f>VLOOKUP(Table257519913140106110122[[#This Row],[PEG]],Table1016[#All],3,FALSE)</f>
        <v>MENU PROMPT</v>
      </c>
    </row>
    <row r="16" spans="1:5">
      <c r="A16" s="114">
        <v>9</v>
      </c>
      <c r="B16" s="110" t="s">
        <v>114</v>
      </c>
      <c r="C16" s="151" t="s">
        <v>515</v>
      </c>
      <c r="D16" s="112"/>
      <c r="E16" s="122" t="e">
        <f>VLOOKUP(Table257519913140106110122[[#This Row],[PEG]],Table1016[#All],3,FALSE)</f>
        <v>#N/A</v>
      </c>
    </row>
    <row r="17" spans="1:5">
      <c r="A17" s="114">
        <v>10</v>
      </c>
      <c r="B17" s="110" t="s">
        <v>12</v>
      </c>
      <c r="C17" s="105" t="str">
        <f>VLOOKUP(Table257519913140106110122[[#This Row],[PEG]],Table1016[#All],2,FALSE)</f>
        <v>0210-1.wav And the date of birth for the primary owner?</v>
      </c>
      <c r="D17" s="113">
        <v>210</v>
      </c>
      <c r="E17" s="122" t="str">
        <f>VLOOKUP(Table257519913140106110122[[#This Row],[PEG]],Table1016[#All],3,FALSE)</f>
        <v>MENU PROMPT</v>
      </c>
    </row>
    <row r="18" spans="1:5">
      <c r="A18" s="114">
        <v>11</v>
      </c>
      <c r="B18" s="110" t="s">
        <v>124</v>
      </c>
      <c r="C18" s="151" t="s">
        <v>614</v>
      </c>
      <c r="D18" s="113"/>
      <c r="E18" s="122" t="e">
        <f>VLOOKUP(Table257519913140106110122[[#This Row],[PEG]],Table1016[#All],3,FALSE)</f>
        <v>#N/A</v>
      </c>
    </row>
    <row r="19" spans="1:5" ht="30">
      <c r="A19" s="114">
        <v>12</v>
      </c>
      <c r="B19" s="110" t="s">
        <v>115</v>
      </c>
      <c r="C19" s="105" t="str">
        <f>VLOOKUP(Table257519913140106110122[[#This Row],[PEG]],Table1016[#All],2,FALSE)</f>
        <v xml:space="preserve">0470.wav Which document would you like? You can say pay-off quote, statements, cancellation letter or tax documents. </v>
      </c>
      <c r="D19" s="113">
        <v>470</v>
      </c>
      <c r="E19" s="122" t="str">
        <f>VLOOKUP(Table257519913140106110122[[#This Row],[PEG]],Table1016[#All],3,FALSE)</f>
        <v>MENU PROMPT</v>
      </c>
    </row>
    <row r="20" spans="1:5">
      <c r="A20" s="114">
        <v>13</v>
      </c>
      <c r="B20" s="110" t="s">
        <v>124</v>
      </c>
      <c r="C20" s="105">
        <v>1098</v>
      </c>
      <c r="D20" s="113"/>
      <c r="E20" s="122" t="e">
        <f>VLOOKUP(Table257519913140106110122[[#This Row],[PEG]],Table1016[#All],3,FALSE)</f>
        <v>#N/A</v>
      </c>
    </row>
    <row r="21" spans="1:5">
      <c r="A21" s="114">
        <v>14</v>
      </c>
      <c r="B21" s="110" t="s">
        <v>115</v>
      </c>
      <c r="C21" s="105" t="str">
        <f>VLOOKUP(Table257519913140106110122[[#This Row],[PEG]],Table1016[#All],2,FALSE)</f>
        <v xml:space="preserve">0490.wav Would you like me to send a copy of your most recent 1098 tax document to the address on file? </v>
      </c>
      <c r="D21" s="113">
        <v>490</v>
      </c>
      <c r="E21" s="122" t="str">
        <f>VLOOKUP(Table257519913140106110122[[#This Row],[PEG]],Table1016[#All],3,FALSE)</f>
        <v>MENU PROMPT</v>
      </c>
    </row>
    <row r="22" spans="1:5">
      <c r="A22" s="114">
        <v>15</v>
      </c>
      <c r="B22" s="110" t="s">
        <v>114</v>
      </c>
      <c r="C22" s="151">
        <v>2</v>
      </c>
      <c r="D22" s="113"/>
      <c r="E22" s="122" t="e">
        <f>VLOOKUP(Table257519913140106110122[[#This Row],[PEG]],Table1016[#All],3,FALSE)</f>
        <v>#N/A</v>
      </c>
    </row>
    <row r="23" spans="1:5">
      <c r="A23" s="114">
        <v>16</v>
      </c>
      <c r="B23" s="110" t="s">
        <v>115</v>
      </c>
      <c r="C23" s="105" t="str">
        <f>VLOOKUP(Table257519913140106110122[[#This Row],[PEG]],Table1016[#All],2,FALSE)</f>
        <v>Sorry.</v>
      </c>
      <c r="D23" s="113" t="s">
        <v>295</v>
      </c>
      <c r="E23" s="122" t="str">
        <f>VLOOKUP(Table257519913140106110122[[#This Row],[PEG]],Table1016[#All],3,FALSE)</f>
        <v>PLAY PROMPT</v>
      </c>
    </row>
    <row r="24" spans="1:5">
      <c r="A24" s="114">
        <v>17</v>
      </c>
      <c r="B24" s="110" t="s">
        <v>115</v>
      </c>
      <c r="C24" s="105" t="str">
        <f>VLOOKUP(Table257519913140106110122[[#This Row],[PEG]],Table1016[#All],2,FALSE)</f>
        <v>0490TaxDoc.wav  Would you like me to send a copy of your most recent 1098 tax document to the address on file?</v>
      </c>
      <c r="D24" s="113" t="s">
        <v>390</v>
      </c>
      <c r="E24" s="122" t="str">
        <f>VLOOKUP(Table257519913140106110122[[#This Row],[PEG]],Table1016[#All],3,FALSE)</f>
        <v>MENU PROMPT</v>
      </c>
    </row>
    <row r="25" spans="1:5">
      <c r="A25" s="114">
        <v>18</v>
      </c>
      <c r="B25" s="110" t="s">
        <v>114</v>
      </c>
      <c r="C25" s="151">
        <v>2</v>
      </c>
      <c r="D25" s="113"/>
      <c r="E25" s="122" t="e">
        <f>VLOOKUP(Table257519913140106110122[[#This Row],[PEG]],Table1016[#All],3,FALSE)</f>
        <v>#N/A</v>
      </c>
    </row>
    <row r="26" spans="1:5">
      <c r="A26" s="114">
        <v>19</v>
      </c>
      <c r="B26" s="110" t="s">
        <v>115</v>
      </c>
      <c r="C26" s="105" t="str">
        <f>VLOOKUP(Table257519913140106110122[[#This Row],[PEG]],Table1016[#All],2,FALSE)</f>
        <v>Sorry, I'm having trouble</v>
      </c>
      <c r="D26" s="113" t="s">
        <v>297</v>
      </c>
      <c r="E26" s="122" t="str">
        <f>VLOOKUP(Table257519913140106110122[[#This Row],[PEG]],Table1016[#All],3,FALSE)</f>
        <v>PLAY PROMPT</v>
      </c>
    </row>
    <row r="27" spans="1:5">
      <c r="A27" s="114">
        <v>20</v>
      </c>
      <c r="B27" s="110" t="s">
        <v>115</v>
      </c>
      <c r="C27" s="105" t="str">
        <f>VLOOKUP(Table257519913140106110122[[#This Row],[PEG]],Table1016[#All],2,FALSE)</f>
        <v>0900.wav Please hold, while I connect you to a customer service representative.</v>
      </c>
      <c r="D27" s="113">
        <v>900</v>
      </c>
      <c r="E27" s="122" t="str">
        <f>VLOOKUP(Table257519913140106110122[[#This Row],[PEG]],Table1016[#All],3,FALSE)</f>
        <v>PLAY PROMPT</v>
      </c>
    </row>
    <row r="28" spans="1:5">
      <c r="A28" s="114">
        <v>21</v>
      </c>
      <c r="B28" s="110" t="s">
        <v>114</v>
      </c>
      <c r="C28" s="105" t="str">
        <f>VLOOKUP(Table257519913140106110122[[#This Row],[PEG]],Table1016[#All],2,FALSE)</f>
        <v>XferNbr.wav Transfer Number &lt;TransferNbr&gt;</v>
      </c>
      <c r="D28" s="113" t="s">
        <v>480</v>
      </c>
      <c r="E28" s="122" t="str">
        <f>VLOOKUP(Table257519913140106110122[[#This Row],[PEG]],Table1016[#All],3,FALSE)</f>
        <v>TEST</v>
      </c>
    </row>
    <row r="29" spans="1:5">
      <c r="A29" s="114">
        <v>22</v>
      </c>
      <c r="B29" s="110" t="s">
        <v>13</v>
      </c>
      <c r="C29" s="17" t="s">
        <v>13</v>
      </c>
      <c r="D29" s="111"/>
      <c r="E29" s="31"/>
    </row>
  </sheetData>
  <mergeCells count="1">
    <mergeCell ref="A1:B1"/>
  </mergeCells>
  <conditionalFormatting sqref="B8 B29">
    <cfRule type="containsText" dxfId="2620" priority="8" operator="containsText" text="Hear">
      <formula>NOT(ISERROR(SEARCH("Hear",B8)))</formula>
    </cfRule>
  </conditionalFormatting>
  <conditionalFormatting sqref="E29">
    <cfRule type="containsText" dxfId="2619" priority="13" operator="containsText" text="WEB SERVICE">
      <formula>NOT(ISERROR(SEARCH("WEB SERVICE",E29)))</formula>
    </cfRule>
    <cfRule type="containsText" dxfId="2618" priority="14" operator="containsText" text="DB">
      <formula>NOT(ISERROR(SEARCH("DB",E29)))</formula>
    </cfRule>
  </conditionalFormatting>
  <conditionalFormatting sqref="C29">
    <cfRule type="expression" dxfId="2617" priority="16">
      <formula>$B29="Dial"</formula>
    </cfRule>
    <cfRule type="expression" dxfId="2616" priority="18">
      <formula>$B29="HANGUP"</formula>
    </cfRule>
  </conditionalFormatting>
  <conditionalFormatting sqref="C29">
    <cfRule type="expression" dxfId="2615" priority="17">
      <formula>$B29="Speak"</formula>
    </cfRule>
  </conditionalFormatting>
  <conditionalFormatting sqref="B21:B28">
    <cfRule type="containsText" dxfId="2614" priority="12" operator="containsText" text="Hear">
      <formula>NOT(ISERROR(SEARCH("Hear",B21)))</formula>
    </cfRule>
  </conditionalFormatting>
  <conditionalFormatting sqref="B9:B20">
    <cfRule type="containsText" dxfId="2613" priority="7" operator="containsText" text="Hear">
      <formula>NOT(ISERROR(SEARCH("Hear",B9)))</formula>
    </cfRule>
  </conditionalFormatting>
  <hyperlinks>
    <hyperlink ref="A1" location="'Test Case Overview'!A1" display="Return to Test Case Overview" xr:uid="{00000000-0004-0000-71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9" id="{80710424-EE2A-4637-9942-0129332E5DB3}">
            <xm:f>'TC1'!$B8="Speak"</xm:f>
            <x14:dxf>
              <font>
                <b/>
                <i val="0"/>
                <color rgb="FFFF0000"/>
              </font>
            </x14:dxf>
          </x14:cfRule>
          <xm:sqref>C8</xm:sqref>
        </x14:conditionalFormatting>
        <x14:conditionalFormatting xmlns:xm="http://schemas.microsoft.com/office/excel/2006/main">
          <x14:cfRule type="containsText" priority="9" operator="containsText" text="WEB SERVICE" id="{29B59540-CB01-4845-B810-B53EAE47C826}">
            <xm:f>NOT(ISERROR(SEARCH("WEB SERVICE",'TC1'!E10)))</xm:f>
            <x14:dxf>
              <font>
                <color rgb="FF9C0006"/>
              </font>
              <fill>
                <patternFill>
                  <bgColor rgb="FFFFC7CE"/>
                </patternFill>
              </fill>
            </x14:dxf>
          </x14:cfRule>
          <x14:cfRule type="containsText" priority="20" operator="containsText" text="DB" id="{B59ED0AA-6B9C-4837-9752-34DBA2CCF29D}">
            <xm:f>NOT(ISERROR(SEARCH("DB",'TC1'!E10)))</xm:f>
            <x14:dxf>
              <font>
                <color rgb="FF006100"/>
              </font>
              <fill>
                <patternFill>
                  <bgColor rgb="FFC6EFCE"/>
                </patternFill>
              </fill>
            </x14:dxf>
          </x14:cfRule>
          <xm:sqref>E9:E12</xm:sqref>
        </x14:conditionalFormatting>
        <x14:conditionalFormatting xmlns:xm="http://schemas.microsoft.com/office/excel/2006/main">
          <x14:cfRule type="expression" priority="23" id="{89D46168-42A7-4B98-A371-92437063357D}">
            <xm:f>'TC1'!$B8="Dial"</xm:f>
            <x14:dxf>
              <font>
                <b/>
                <i val="0"/>
                <color rgb="FFFF0000"/>
              </font>
            </x14:dxf>
          </x14:cfRule>
          <x14:cfRule type="expression" priority="23" id="{562284C0-7605-4150-9F5A-023C9F1FE819}">
            <xm:f>'TC1'!$B8="HANGUP"</xm:f>
            <x14:dxf>
              <font>
                <b/>
                <i val="0"/>
              </font>
            </x14:dxf>
          </x14:cfRule>
          <xm:sqref>C8</xm:sqref>
        </x14:conditionalFormatting>
        <x14:conditionalFormatting xmlns:xm="http://schemas.microsoft.com/office/excel/2006/main">
          <x14:cfRule type="expression" priority="2533" id="{80710424-EE2A-4637-9942-0129332E5DB3}">
            <xm:f>'TC1'!#REF!="Speak"</xm:f>
            <x14:dxf>
              <font>
                <b/>
                <i val="0"/>
                <color rgb="FFFF0000"/>
              </font>
            </x14:dxf>
          </x14:cfRule>
          <xm:sqref>C13:C15 C17 C19:C28</xm:sqref>
        </x14:conditionalFormatting>
        <x14:conditionalFormatting xmlns:xm="http://schemas.microsoft.com/office/excel/2006/main">
          <x14:cfRule type="containsText" priority="2539" operator="containsText" text="WEB SERVICE" id="{29B59540-CB01-4845-B810-B53EAE47C826}">
            <xm:f>NOT(ISERROR(SEARCH("WEB SERVICE",'TC1'!#REF!)))</xm:f>
            <x14:dxf>
              <font>
                <color rgb="FF9C0006"/>
              </font>
              <fill>
                <patternFill>
                  <bgColor rgb="FFFFC7CE"/>
                </patternFill>
              </fill>
            </x14:dxf>
          </x14:cfRule>
          <x14:cfRule type="containsText" priority="2540" operator="containsText" text="DB" id="{B59ED0AA-6B9C-4837-9752-34DBA2CCF29D}">
            <xm:f>NOT(ISERROR(SEARCH("DB",'TC1'!#REF!)))</xm:f>
            <x14:dxf>
              <font>
                <color rgb="FF006100"/>
              </font>
              <fill>
                <patternFill>
                  <bgColor rgb="FFC6EFCE"/>
                </patternFill>
              </fill>
            </x14:dxf>
          </x14:cfRule>
          <xm:sqref>E13:E28</xm:sqref>
        </x14:conditionalFormatting>
        <x14:conditionalFormatting xmlns:xm="http://schemas.microsoft.com/office/excel/2006/main">
          <x14:cfRule type="expression" priority="2547" id="{89D46168-42A7-4B98-A371-92437063357D}">
            <xm:f>'TC1'!#REF!="Dial"</xm:f>
            <x14:dxf>
              <font>
                <b/>
                <i val="0"/>
                <color rgb="FFFF0000"/>
              </font>
            </x14:dxf>
          </x14:cfRule>
          <x14:cfRule type="expression" priority="2548" id="{562284C0-7605-4150-9F5A-023C9F1FE819}">
            <xm:f>'TC1'!#REF!="HANGUP"</xm:f>
            <x14:dxf>
              <font>
                <b/>
                <i val="0"/>
              </font>
            </x14:dxf>
          </x14:cfRule>
          <xm:sqref>C13:C15 C17 C19:C28</xm:sqref>
        </x14:conditionalFormatting>
        <x14:conditionalFormatting xmlns:xm="http://schemas.microsoft.com/office/excel/2006/main">
          <x14:cfRule type="expression" priority="4268" id="{80710424-EE2A-4637-9942-0129332E5DB3}">
            <xm:f>'TC1'!$B10="Speak"</xm:f>
            <x14:dxf>
              <font>
                <b/>
                <i val="0"/>
                <color rgb="FFFF0000"/>
              </font>
            </x14:dxf>
          </x14:cfRule>
          <xm:sqref>C9:C12</xm:sqref>
        </x14:conditionalFormatting>
        <x14:conditionalFormatting xmlns:xm="http://schemas.microsoft.com/office/excel/2006/main">
          <x14:cfRule type="expression" priority="4273" id="{89D46168-42A7-4B98-A371-92437063357D}">
            <xm:f>'TC1'!$B10="Dial"</xm:f>
            <x14:dxf>
              <font>
                <b/>
                <i val="0"/>
                <color rgb="FFFF0000"/>
              </font>
            </x14:dxf>
          </x14:cfRule>
          <x14:cfRule type="expression" priority="4274" id="{562284C0-7605-4150-9F5A-023C9F1FE819}">
            <xm:f>'TC1'!$B10="HANGUP"</xm:f>
            <x14:dxf>
              <font>
                <b/>
                <i val="0"/>
              </font>
            </x14:dxf>
          </x14:cfRule>
          <xm:sqref>C9:C12</xm:sqref>
        </x14:conditionalFormatting>
        <x14:conditionalFormatting xmlns:xm="http://schemas.microsoft.com/office/excel/2006/main">
          <x14:cfRule type="expression" priority="4" id="{3B52AAD6-6157-4609-A0A1-479EF248C304}">
            <xm:f>'\Users\deannah\Wyndham Testing\[Wyndham Destinations_TestCaseOverview_V3_Template.xlsx]TC1'!#REF!="HANGUP"</xm:f>
            <x14:dxf>
              <font>
                <b/>
                <i val="0"/>
              </font>
            </x14:dxf>
          </x14:cfRule>
          <x14:cfRule type="expression" priority="5" id="{8AC7E0F1-1DBF-46A2-A618-E44A9B88D01A}">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6" id="{EB180B5C-2542-4538-9338-5103B64CCB70}">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1" id="{70851962-5C4F-4387-915D-34305101EEE5}">
            <xm:f>'\Users\deannah\Wyndham Testing\[Wyndham Destinations_TestCaseOverview_V3_Template.xlsx]TC1'!#REF!="HANGUP"</xm:f>
            <x14:dxf>
              <font>
                <b/>
                <i val="0"/>
              </font>
            </x14:dxf>
          </x14:cfRule>
          <x14:cfRule type="expression" priority="2" id="{A076ECEC-30AD-4A22-AB28-B544431D3373}">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3" id="{EAE5F5AB-3126-42F1-8A3F-25BEDF81B28F}">
            <xm:f>'\Users\deannah\Wyndham Testing\[Wyndham Destinations_TestCaseOverview_V3_Template.xlsx]TC1'!#REF!="Speak"</xm:f>
            <x14:dxf>
              <font>
                <b/>
                <i val="0"/>
                <color rgb="FFFF0000"/>
              </font>
            </x14:dxf>
          </x14:cfRule>
          <xm:sqref>C18</xm:sqref>
        </x14:conditionalFormatting>
      </x14:conditionalFormattings>
    </ext>
  </extLst>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sheetPr codeName="Sheet116"/>
  <dimension ref="A1:E23"/>
  <sheetViews>
    <sheetView zoomScaleNormal="100" workbookViewId="0">
      <selection activeCell="D8" sqref="D8:D1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TC114</v>
      </c>
      <c r="C2" s="94"/>
      <c r="D2" s="107"/>
      <c r="E2" s="93"/>
    </row>
    <row r="3" spans="1:5">
      <c r="A3" s="100" t="s">
        <v>19</v>
      </c>
      <c r="B3" s="108">
        <f ca="1">VLOOKUP(B2,Table1[#All],2,FALSE)</f>
        <v>0</v>
      </c>
      <c r="C3" s="94"/>
      <c r="D3" s="107"/>
      <c r="E3" s="93"/>
    </row>
    <row r="4" spans="1:5" ht="60">
      <c r="A4" s="109" t="s">
        <v>20</v>
      </c>
      <c r="B4" s="95" t="str">
        <f ca="1">VLOOKUP(B2,Table1[#All],4,FALSE)</f>
        <v>SvcArea =Collections, OFS05 returns success this may be Call Start - not sure which to get 0FS05 to return "success". Past Due=Yes DPD&gt;x=No</v>
      </c>
      <c r="C4" s="94"/>
      <c r="D4" s="107"/>
      <c r="E4" s="93"/>
    </row>
    <row r="5" spans="1:5" ht="30">
      <c r="A5" s="100" t="s">
        <v>6</v>
      </c>
      <c r="B5" s="75" t="str">
        <f ca="1">VLOOKUP(B2,Table1[#All],3,FALSE)</f>
        <v>Coll Inbd/ /ID Auth/ID Auth True,no input no match/ Xfer</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24" t="s">
        <v>475</v>
      </c>
      <c r="D8" s="149"/>
      <c r="E8" s="122" t="s">
        <v>11</v>
      </c>
    </row>
    <row r="9" spans="1:5">
      <c r="A9" s="114">
        <v>2</v>
      </c>
      <c r="B9" s="110" t="s">
        <v>115</v>
      </c>
      <c r="C9" s="105" t="str">
        <f>VLOOKUP(Table257519913140106110126[[#This Row],[PEG]],Table1016[#All],2,FALSE)</f>
        <v>CallID.wav Call ID &lt;CallID&gt;</v>
      </c>
      <c r="D9" s="149" t="s">
        <v>477</v>
      </c>
      <c r="E9" s="122" t="str">
        <f>VLOOKUP(Table257519913140106110126[[#This Row],[PEG]],Table1016[#All],3,FALSE)</f>
        <v>TEST</v>
      </c>
    </row>
    <row r="10" spans="1:5">
      <c r="A10" s="114">
        <v>3</v>
      </c>
      <c r="B10" s="110" t="s">
        <v>115</v>
      </c>
      <c r="C10" s="105" t="str">
        <f>VLOOKUP(Table257519913140106110126[[#This Row],[PEG]],Table1016[#All],2,FALSE)</f>
        <v>0130.wav Thank you for calling &lt;brand&gt;... [To continue in Spanish, press 9]</v>
      </c>
      <c r="D10" s="149">
        <v>130</v>
      </c>
      <c r="E10" s="122" t="str">
        <f>VLOOKUP(Table257519913140106110126[[#This Row],[PEG]],Table1016[#All],3,FALSE)</f>
        <v>PLAY PROMPT</v>
      </c>
    </row>
    <row r="11" spans="1:5">
      <c r="A11" s="114">
        <v>4</v>
      </c>
      <c r="B11" s="110" t="s">
        <v>115</v>
      </c>
      <c r="C11" s="105" t="str">
        <f>VLOOKUP(Table257519913140106110126[[#This Row],[PEG]],Table1016[#All],2,FALSE)</f>
        <v>0200-1.wav To get started, what is your account number?</v>
      </c>
      <c r="D11" s="149">
        <v>200</v>
      </c>
      <c r="E11" s="122" t="str">
        <f>VLOOKUP(Table257519913140106110126[[#This Row],[PEG]],Table1016[#All],3,FALSE)</f>
        <v>MENU PROMPT</v>
      </c>
    </row>
    <row r="12" spans="1:5">
      <c r="A12" s="114">
        <v>5</v>
      </c>
      <c r="B12" s="110" t="s">
        <v>114</v>
      </c>
      <c r="C12" s="151" t="s">
        <v>515</v>
      </c>
      <c r="D12" s="149"/>
      <c r="E12" s="122" t="e">
        <f>VLOOKUP(Table257519913140106110126[[#This Row],[PEG]],Table1016[#All],3,FALSE)</f>
        <v>#N/A</v>
      </c>
    </row>
    <row r="13" spans="1:5">
      <c r="A13" s="114">
        <v>6</v>
      </c>
      <c r="B13" s="110" t="s">
        <v>115</v>
      </c>
      <c r="C13" s="105" t="str">
        <f>VLOOKUP(Table257519913140106110126[[#This Row],[PEG]],Table1016[#All],2,FALSE)</f>
        <v>0210-1.wav And the date of birth for the primary owner?</v>
      </c>
      <c r="D13" s="149">
        <v>210</v>
      </c>
      <c r="E13" s="122" t="str">
        <f>VLOOKUP(Table257519913140106110126[[#This Row],[PEG]],Table1016[#All],3,FALSE)</f>
        <v>MENU PROMPT</v>
      </c>
    </row>
    <row r="14" spans="1:5">
      <c r="A14" s="114">
        <v>7</v>
      </c>
      <c r="B14" s="110" t="s">
        <v>114</v>
      </c>
      <c r="C14" s="151" t="s">
        <v>614</v>
      </c>
      <c r="D14" s="149"/>
      <c r="E14" s="122" t="e">
        <f>VLOOKUP(Table257519913140106110126[[#This Row],[PEG]],Table1016[#All],3,FALSE)</f>
        <v>#N/A</v>
      </c>
    </row>
    <row r="15" spans="1:5">
      <c r="A15" s="114">
        <v>8</v>
      </c>
      <c r="B15" s="110" t="s">
        <v>115</v>
      </c>
      <c r="C15" s="105" t="str">
        <f>VLOOKUP(Table257519913140106110126[[#This Row],[PEG]],Table1016[#All],2,FALSE)</f>
        <v>0500.wav You have a past due balance of [amount]. Would you like to make that payment in full today?</v>
      </c>
      <c r="D15" s="112">
        <v>500</v>
      </c>
      <c r="E15" s="122" t="str">
        <f>VLOOKUP(Table257519913140106110126[[#This Row],[PEG]],Table1016[#All],3,FALSE)</f>
        <v>MENU PROMPT</v>
      </c>
    </row>
    <row r="16" spans="1:5">
      <c r="A16" s="114">
        <v>9</v>
      </c>
      <c r="B16" s="110" t="s">
        <v>12</v>
      </c>
      <c r="C16" s="151" t="s">
        <v>607</v>
      </c>
      <c r="D16" s="112"/>
      <c r="E16" s="122" t="e">
        <f>VLOOKUP(Table257519913140106110126[[#This Row],[PEG]],Table1016[#All],3,FALSE)</f>
        <v>#N/A</v>
      </c>
    </row>
    <row r="17" spans="1:5">
      <c r="A17" s="114">
        <v>10</v>
      </c>
      <c r="B17" s="110" t="s">
        <v>12</v>
      </c>
      <c r="C17" s="105" t="str">
        <f>VLOOKUP(Table257519913140106110126[[#This Row],[PEG]],Table1016[#All],2,FALSE)</f>
        <v>Sorry.</v>
      </c>
      <c r="D17" s="113" t="s">
        <v>295</v>
      </c>
      <c r="E17" s="122" t="str">
        <f>VLOOKUP(Table257519913140106110126[[#This Row],[PEG]],Table1016[#All],3,FALSE)</f>
        <v>PLAY PROMPT</v>
      </c>
    </row>
    <row r="18" spans="1:5">
      <c r="A18" s="114">
        <v>11</v>
      </c>
      <c r="B18" s="110" t="s">
        <v>115</v>
      </c>
      <c r="C18" s="105" t="str">
        <f>VLOOKUP(Table257519913140106110126[[#This Row],[PEG]],Table1016[#All],2,FALSE)</f>
        <v>0500PastDue.wav  You have a past due balance of [amount]. Would you like to make that payment in full today?</v>
      </c>
      <c r="D18" s="113" t="s">
        <v>391</v>
      </c>
      <c r="E18" s="122" t="str">
        <f>VLOOKUP(Table257519913140106110126[[#This Row],[PEG]],Table1016[#All],3,FALSE)</f>
        <v>MENU PROMPT</v>
      </c>
    </row>
    <row r="19" spans="1:5">
      <c r="A19" s="114">
        <v>12</v>
      </c>
      <c r="B19" s="110" t="s">
        <v>114</v>
      </c>
      <c r="C19" s="151" t="s">
        <v>1</v>
      </c>
      <c r="D19" s="113"/>
      <c r="E19" s="122" t="e">
        <f>VLOOKUP(Table257519913140106110126[[#This Row],[PEG]],Table1016[#All],3,FALSE)</f>
        <v>#N/A</v>
      </c>
    </row>
    <row r="20" spans="1:5">
      <c r="A20" s="114">
        <v>13</v>
      </c>
      <c r="B20" s="110" t="s">
        <v>114</v>
      </c>
      <c r="C20" s="105" t="str">
        <f>VLOOKUP(Table257519913140106110126[[#This Row],[PEG]],Table1016[#All],2,FALSE)</f>
        <v>Sorry, I'm having trouble</v>
      </c>
      <c r="D20" s="113" t="s">
        <v>297</v>
      </c>
      <c r="E20" s="122" t="str">
        <f>VLOOKUP(Table257519913140106110126[[#This Row],[PEG]],Table1016[#All],3,FALSE)</f>
        <v>PLAY PROMPT</v>
      </c>
    </row>
    <row r="21" spans="1:5">
      <c r="A21" s="114">
        <v>14</v>
      </c>
      <c r="B21" s="110" t="s">
        <v>12</v>
      </c>
      <c r="C21" s="105" t="str">
        <f>VLOOKUP(Table257519913140106110126[[#This Row],[PEG]],Table1016[#All],2,FALSE)</f>
        <v>0900.wav Please hold, while I connect you to a customer service representative.</v>
      </c>
      <c r="D21" s="113">
        <v>900</v>
      </c>
      <c r="E21" s="122" t="str">
        <f>VLOOKUP(Table257519913140106110126[[#This Row],[PEG]],Table1016[#All],3,FALSE)</f>
        <v>PLAY PROMPT</v>
      </c>
    </row>
    <row r="22" spans="1:5">
      <c r="A22" s="114">
        <v>15</v>
      </c>
      <c r="B22" s="110" t="s">
        <v>12</v>
      </c>
      <c r="C22" s="105" t="str">
        <f>VLOOKUP(Table257519913140106110126[[#This Row],[PEG]],Table1016[#All],2,FALSE)</f>
        <v>XferNbr.wav Transfer Number &lt;TransferNbr&gt;</v>
      </c>
      <c r="D22" s="113" t="s">
        <v>480</v>
      </c>
      <c r="E22" s="122" t="str">
        <f>VLOOKUP(Table257519913140106110126[[#This Row],[PEG]],Table1016[#All],3,FALSE)</f>
        <v>TEST</v>
      </c>
    </row>
    <row r="23" spans="1:5">
      <c r="A23" s="114">
        <v>16</v>
      </c>
      <c r="B23" s="110" t="s">
        <v>13</v>
      </c>
      <c r="C23" s="17" t="s">
        <v>13</v>
      </c>
      <c r="D23" s="111"/>
      <c r="E23" s="31"/>
    </row>
  </sheetData>
  <mergeCells count="1">
    <mergeCell ref="A1:B1"/>
  </mergeCells>
  <conditionalFormatting sqref="B8:B18 B23">
    <cfRule type="containsText" dxfId="2584" priority="9" operator="containsText" text="Hear">
      <formula>NOT(ISERROR(SEARCH("Hear",B8)))</formula>
    </cfRule>
  </conditionalFormatting>
  <conditionalFormatting sqref="E23">
    <cfRule type="containsText" dxfId="2583" priority="14" operator="containsText" text="WEB SERVICE">
      <formula>NOT(ISERROR(SEARCH("WEB SERVICE",E23)))</formula>
    </cfRule>
    <cfRule type="containsText" dxfId="2582" priority="15" operator="containsText" text="DB">
      <formula>NOT(ISERROR(SEARCH("DB",E23)))</formula>
    </cfRule>
  </conditionalFormatting>
  <conditionalFormatting sqref="C23">
    <cfRule type="expression" dxfId="2581" priority="17">
      <formula>$B23="Dial"</formula>
    </cfRule>
    <cfRule type="expression" dxfId="2580" priority="19">
      <formula>$B23="HANGUP"</formula>
    </cfRule>
  </conditionalFormatting>
  <conditionalFormatting sqref="C23">
    <cfRule type="expression" dxfId="2579" priority="18">
      <formula>$B23="Speak"</formula>
    </cfRule>
  </conditionalFormatting>
  <conditionalFormatting sqref="B19:B22">
    <cfRule type="containsText" dxfId="2578" priority="13" operator="containsText" text="Hear">
      <formula>NOT(ISERROR(SEARCH("Hear",B19)))</formula>
    </cfRule>
  </conditionalFormatting>
  <conditionalFormatting sqref="C8">
    <cfRule type="expression" dxfId="2577" priority="7">
      <formula>$B8="Dial"</formula>
    </cfRule>
    <cfRule type="expression" dxfId="2576" priority="8">
      <formula>$B8="HANGUP"</formula>
    </cfRule>
  </conditionalFormatting>
  <hyperlinks>
    <hyperlink ref="A1" location="'Test Case Overview'!A1" display="Return to Test Case Overview" xr:uid="{00000000-0004-0000-72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10" operator="containsText" text="WEB SERVICE" id="{4898F2A0-8CEB-4610-B9B9-8E289DA1DBA3}">
            <xm:f>NOT(ISERROR(SEARCH("WEB SERVICE",'TC1'!E10)))</xm:f>
            <x14:dxf>
              <font>
                <color rgb="FF9C0006"/>
              </font>
              <fill>
                <patternFill>
                  <bgColor rgb="FFFFC7CE"/>
                </patternFill>
              </fill>
            </x14:dxf>
          </x14:cfRule>
          <x14:cfRule type="containsText" priority="21" operator="containsText" text="DB" id="{51C6B4E3-FD48-456C-A20E-BE6F6DB88138}">
            <xm:f>NOT(ISERROR(SEARCH("DB",'TC1'!E10)))</xm:f>
            <x14:dxf>
              <font>
                <color rgb="FF006100"/>
              </font>
              <fill>
                <patternFill>
                  <bgColor rgb="FFC6EFCE"/>
                </patternFill>
              </fill>
            </x14:dxf>
          </x14:cfRule>
          <xm:sqref>E9:E12</xm:sqref>
        </x14:conditionalFormatting>
        <x14:conditionalFormatting xmlns:xm="http://schemas.microsoft.com/office/excel/2006/main">
          <x14:cfRule type="expression" priority="2554" id="{02398220-856A-47EC-9EC3-7FA1B522A1E7}">
            <xm:f>'TC1'!#REF!="Speak"</xm:f>
            <x14:dxf>
              <font>
                <b/>
                <i val="0"/>
                <color rgb="FFFF0000"/>
              </font>
            </x14:dxf>
          </x14:cfRule>
          <xm:sqref>C13 C15:C22</xm:sqref>
        </x14:conditionalFormatting>
        <x14:conditionalFormatting xmlns:xm="http://schemas.microsoft.com/office/excel/2006/main">
          <x14:cfRule type="containsText" priority="2560" operator="containsText" text="WEB SERVICE" id="{4898F2A0-8CEB-4610-B9B9-8E289DA1DBA3}">
            <xm:f>NOT(ISERROR(SEARCH("WEB SERVICE",'TC1'!#REF!)))</xm:f>
            <x14:dxf>
              <font>
                <color rgb="FF9C0006"/>
              </font>
              <fill>
                <patternFill>
                  <bgColor rgb="FFFFC7CE"/>
                </patternFill>
              </fill>
            </x14:dxf>
          </x14:cfRule>
          <x14:cfRule type="containsText" priority="2561" operator="containsText" text="DB" id="{51C6B4E3-FD48-456C-A20E-BE6F6DB88138}">
            <xm:f>NOT(ISERROR(SEARCH("DB",'TC1'!#REF!)))</xm:f>
            <x14:dxf>
              <font>
                <color rgb="FF006100"/>
              </font>
              <fill>
                <patternFill>
                  <bgColor rgb="FFC6EFCE"/>
                </patternFill>
              </fill>
            </x14:dxf>
          </x14:cfRule>
          <xm:sqref>E13:E22</xm:sqref>
        </x14:conditionalFormatting>
        <x14:conditionalFormatting xmlns:xm="http://schemas.microsoft.com/office/excel/2006/main">
          <x14:cfRule type="expression" priority="2568" id="{32A63D3C-B78F-408D-AC21-1B592A4295D8}">
            <xm:f>'TC1'!#REF!="Dial"</xm:f>
            <x14:dxf>
              <font>
                <b/>
                <i val="0"/>
                <color rgb="FFFF0000"/>
              </font>
            </x14:dxf>
          </x14:cfRule>
          <x14:cfRule type="expression" priority="2569" id="{0817B874-1A97-4892-892A-E57F7D8F2B6E}">
            <xm:f>'TC1'!#REF!="HANGUP"</xm:f>
            <x14:dxf>
              <font>
                <b/>
                <i val="0"/>
              </font>
            </x14:dxf>
          </x14:cfRule>
          <xm:sqref>C13 C15:C22</xm:sqref>
        </x14:conditionalFormatting>
        <x14:conditionalFormatting xmlns:xm="http://schemas.microsoft.com/office/excel/2006/main">
          <x14:cfRule type="expression" priority="4277" id="{02398220-856A-47EC-9EC3-7FA1B522A1E7}">
            <xm:f>'TC1'!$B10="Speak"</xm:f>
            <x14:dxf>
              <font>
                <b/>
                <i val="0"/>
                <color rgb="FFFF0000"/>
              </font>
            </x14:dxf>
          </x14:cfRule>
          <xm:sqref>C9:C11</xm:sqref>
        </x14:conditionalFormatting>
        <x14:conditionalFormatting xmlns:xm="http://schemas.microsoft.com/office/excel/2006/main">
          <x14:cfRule type="expression" priority="4282" id="{32A63D3C-B78F-408D-AC21-1B592A4295D8}">
            <xm:f>'TC1'!$B10="Dial"</xm:f>
            <x14:dxf>
              <font>
                <b/>
                <i val="0"/>
                <color rgb="FFFF0000"/>
              </font>
            </x14:dxf>
          </x14:cfRule>
          <x14:cfRule type="expression" priority="4283" id="{0817B874-1A97-4892-892A-E57F7D8F2B6E}">
            <xm:f>'TC1'!$B10="HANGUP"</xm:f>
            <x14:dxf>
              <font>
                <b/>
                <i val="0"/>
              </font>
            </x14:dxf>
          </x14:cfRule>
          <xm:sqref>C9:C11</xm:sqref>
        </x14:conditionalFormatting>
        <x14:conditionalFormatting xmlns:xm="http://schemas.microsoft.com/office/excel/2006/main">
          <x14:cfRule type="expression" priority="4" id="{DEE150F8-D83A-4B80-BD89-69C7A752C560}">
            <xm:f>'\Users\deannah\Wyndham Testing\[Wyndham Destinations_TestCaseOverview_V3_Template.xlsx]TC1'!#REF!="HANGUP"</xm:f>
            <x14:dxf>
              <font>
                <b/>
                <i val="0"/>
              </font>
            </x14:dxf>
          </x14:cfRule>
          <x14:cfRule type="expression" priority="5" id="{083D871B-E5E2-4851-974D-29DC5974ACAC}">
            <xm:f>'\Users\deannah\Wyndham Testing\[Wyndham Destinations_TestCaseOverview_V3_Template.xlsx]TC1'!#REF!="Dial"</xm:f>
            <x14:dxf>
              <font>
                <b/>
                <i val="0"/>
                <color rgb="FFFF0000"/>
              </font>
            </x14:dxf>
          </x14:cfRule>
          <xm:sqref>C12</xm:sqref>
        </x14:conditionalFormatting>
        <x14:conditionalFormatting xmlns:xm="http://schemas.microsoft.com/office/excel/2006/main">
          <x14:cfRule type="expression" priority="6" id="{0630B16F-EADD-4DA2-BA1F-AA0B306D7446}">
            <xm:f>'\Users\deannah\Wyndham Testing\[Wyndham Destinations_TestCaseOverview_V3_Template.xlsx]TC1'!#REF!="Speak"</xm:f>
            <x14:dxf>
              <font>
                <b/>
                <i val="0"/>
                <color rgb="FFFF0000"/>
              </font>
            </x14:dxf>
          </x14:cfRule>
          <xm:sqref>C12</xm:sqref>
        </x14:conditionalFormatting>
        <x14:conditionalFormatting xmlns:xm="http://schemas.microsoft.com/office/excel/2006/main">
          <x14:cfRule type="expression" priority="1" id="{A3106FDA-B776-44FB-A29A-095A5BD50762}">
            <xm:f>'\Users\deannah\Wyndham Testing\[Wyndham Destinations_TestCaseOverview_V3_Template.xlsx]TC1'!#REF!="HANGUP"</xm:f>
            <x14:dxf>
              <font>
                <b/>
                <i val="0"/>
              </font>
            </x14:dxf>
          </x14:cfRule>
          <x14:cfRule type="expression" priority="2" id="{34C73C28-0916-448D-9A7F-01D4F8C2B676}">
            <xm:f>'\Users\deannah\Wyndham Testing\[Wyndham Destinations_TestCaseOverview_V3_Template.xlsx]TC1'!#REF!="Dial"</xm:f>
            <x14:dxf>
              <font>
                <b/>
                <i val="0"/>
                <color rgb="FFFF0000"/>
              </font>
            </x14:dxf>
          </x14:cfRule>
          <xm:sqref>C14</xm:sqref>
        </x14:conditionalFormatting>
        <x14:conditionalFormatting xmlns:xm="http://schemas.microsoft.com/office/excel/2006/main">
          <x14:cfRule type="expression" priority="3" id="{0FE548B0-8BB3-449A-9009-340DD717EAEF}">
            <xm:f>'\Users\deannah\Wyndham Testing\[Wyndham Destinations_TestCaseOverview_V3_Template.xlsx]TC1'!#REF!="Speak"</xm:f>
            <x14:dxf>
              <font>
                <b/>
                <i val="0"/>
                <color rgb="FFFF0000"/>
              </font>
            </x14:dxf>
          </x14:cfRule>
          <xm:sqref>C14</xm:sqref>
        </x14:conditionalFormatting>
      </x14:conditionalFormattings>
    </ext>
  </extLst>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sheetPr codeName="Sheet117"/>
  <dimension ref="A1:E27"/>
  <sheetViews>
    <sheetView zoomScaleNormal="100" workbookViewId="0">
      <selection activeCell="C4" sqref="C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TC115</v>
      </c>
      <c r="C2" s="94"/>
      <c r="D2" s="107"/>
      <c r="E2" s="93"/>
    </row>
    <row r="3" spans="1:5">
      <c r="A3" s="100" t="s">
        <v>19</v>
      </c>
      <c r="B3" s="108">
        <f ca="1">VLOOKUP(B2,Table1[#All],2,FALSE)</f>
        <v>0</v>
      </c>
      <c r="C3" s="94"/>
      <c r="D3" s="107"/>
      <c r="E3" s="93"/>
    </row>
    <row r="4" spans="1:5" ht="60">
      <c r="A4" s="109" t="s">
        <v>20</v>
      </c>
      <c r="B4" s="95" t="str">
        <f ca="1">VLOOKUP(B2,Table1[#All],4,FALSE)</f>
        <v xml:space="preserve">svcArea=titleSvcs, serviceType=checkStatus, Completed=Yes, &gt; 15 days ago?=yes. Say Yes to peg 0310 send copy of conf ltr. OSF04 returns success. </v>
      </c>
      <c r="C4" s="94"/>
      <c r="D4" s="107"/>
      <c r="E4" s="93"/>
    </row>
    <row r="5" spans="1:5" ht="45">
      <c r="A5" s="100" t="s">
        <v>6</v>
      </c>
      <c r="B5" s="75" t="str">
        <f ca="1">VLOOKUP(B2,Table1[#All],3,FALSE)</f>
        <v>CallStart Main Menu /Title /CheckStatus/ID Auth=True/Yes to copy of conf ltr/no input 2X/ Xfer</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VLOOKUP(Table257519913140106110130[[#This Row],[PEG]],Table1016[#All],2,FALSE)</f>
        <v>CallID.wav Call ID &lt;CallID&gt;</v>
      </c>
      <c r="D9" s="152" t="s">
        <v>477</v>
      </c>
      <c r="E9" s="122" t="str">
        <f>VLOOKUP(Table257519913140106110130[[#This Row],[PEG]],Table1016[#All],3,FALSE)</f>
        <v>TEST</v>
      </c>
    </row>
    <row r="10" spans="1:5" ht="30">
      <c r="A10" s="114">
        <v>3</v>
      </c>
      <c r="B10" s="110" t="s">
        <v>115</v>
      </c>
      <c r="C10" s="105" t="str">
        <f>VLOOKUP(Table257519913140106110130[[#This Row],[PEG]],Table1016[#All],2,FALSE)</f>
        <v>0100.wav Thank you for calling Shell vacations Club, we are glad you called. Please have your account number available for faster service. [To continue in Spanish, press 9]</v>
      </c>
      <c r="D10" s="152">
        <v>100</v>
      </c>
      <c r="E10" s="122" t="str">
        <f>VLOOKUP(Table257519913140106110130[[#This Row],[PEG]],Table1016[#All],3,FALSE)</f>
        <v>PLAY PROMPT</v>
      </c>
    </row>
    <row r="11" spans="1:5" ht="30">
      <c r="A11" s="114">
        <v>4</v>
      </c>
      <c r="B11" s="110" t="s">
        <v>115</v>
      </c>
      <c r="C11" s="105" t="str">
        <f>VLOOKUP(Table257519913140106110130[[#This Row],[PEG]],Table1016[#All],2,FALSE)</f>
        <v>0110-1.wav Which would you like? You can say... reservations, payments &amp; statements, title &amp; ownership changes, or more options.</v>
      </c>
      <c r="D11" s="152">
        <v>110</v>
      </c>
      <c r="E11" s="122" t="str">
        <f>VLOOKUP(Table257519913140106110130[[#This Row],[PEG]],Table1016[#All],3,FALSE)</f>
        <v>MENU PROMPT</v>
      </c>
    </row>
    <row r="12" spans="1:5">
      <c r="A12" s="114">
        <v>5</v>
      </c>
      <c r="B12" s="110" t="s">
        <v>124</v>
      </c>
      <c r="C12" s="158" t="s">
        <v>2</v>
      </c>
      <c r="D12" s="152"/>
      <c r="E12" s="122" t="e">
        <f>VLOOKUP(Table257519913140106110130[[#This Row],[PEG]],Table1016[#All],3,FALSE)</f>
        <v>#N/A</v>
      </c>
    </row>
    <row r="13" spans="1:5" ht="30">
      <c r="A13" s="114">
        <v>6</v>
      </c>
      <c r="B13" s="110" t="s">
        <v>115</v>
      </c>
      <c r="C13" s="105" t="str">
        <f>VLOOKUP(Table257519913140106110130[[#This Row],[PEG]],Table1016[#All],2,FALSE)</f>
        <v>0300-1.wav You can say ownership changes, check status, make a payment, or help me with something else. Which would you like?</v>
      </c>
      <c r="D13" s="152">
        <v>300</v>
      </c>
      <c r="E13" s="122" t="str">
        <f>VLOOKUP(Table257519913140106110130[[#This Row],[PEG]],Table1016[#All],3,FALSE)</f>
        <v>MENU PROMPT</v>
      </c>
    </row>
    <row r="14" spans="1:5">
      <c r="A14" s="114">
        <v>7</v>
      </c>
      <c r="B14" s="110" t="s">
        <v>124</v>
      </c>
      <c r="C14" s="151" t="s">
        <v>492</v>
      </c>
      <c r="D14" s="125"/>
      <c r="E14" s="122" t="e">
        <f>VLOOKUP(Table257519913140106110130[[#This Row],[PEG]],Table1016[#All],3,FALSE)</f>
        <v>#N/A</v>
      </c>
    </row>
    <row r="15" spans="1:5">
      <c r="A15" s="114">
        <v>8</v>
      </c>
      <c r="B15" s="110" t="s">
        <v>115</v>
      </c>
      <c r="C15" s="105" t="str">
        <f>VLOOKUP(Table257519913140106110130[[#This Row],[PEG]],Table1016[#All],2,FALSE)</f>
        <v>0200-1.wav To get started, what is your account number?</v>
      </c>
      <c r="D15" s="153">
        <v>200</v>
      </c>
      <c r="E15" s="122" t="str">
        <f>VLOOKUP(Table257519913140106110130[[#This Row],[PEG]],Table1016[#All],3,FALSE)</f>
        <v>MENU PROMPT</v>
      </c>
    </row>
    <row r="16" spans="1:5">
      <c r="A16" s="114">
        <v>9</v>
      </c>
      <c r="B16" s="110" t="s">
        <v>114</v>
      </c>
      <c r="C16" s="151" t="s">
        <v>515</v>
      </c>
      <c r="D16" s="112"/>
      <c r="E16" s="122" t="e">
        <f>VLOOKUP(Table257519913140106110130[[#This Row],[PEG]],Table1016[#All],3,FALSE)</f>
        <v>#N/A</v>
      </c>
    </row>
    <row r="17" spans="1:5">
      <c r="A17" s="114">
        <v>10</v>
      </c>
      <c r="B17" s="110" t="s">
        <v>115</v>
      </c>
      <c r="C17" s="105" t="str">
        <f>VLOOKUP(Table257519913140106110130[[#This Row],[PEG]],Table1016[#All],2,FALSE)</f>
        <v>0210-1.wav And the date of birth for the primary owner?</v>
      </c>
      <c r="D17" s="154">
        <v>210</v>
      </c>
      <c r="E17" s="122" t="str">
        <f>VLOOKUP(Table257519913140106110130[[#This Row],[PEG]],Table1016[#All],3,FALSE)</f>
        <v>MENU PROMPT</v>
      </c>
    </row>
    <row r="18" spans="1:5">
      <c r="A18" s="114">
        <v>11</v>
      </c>
      <c r="B18" s="110" t="s">
        <v>124</v>
      </c>
      <c r="C18" s="151" t="s">
        <v>614</v>
      </c>
      <c r="D18" s="154"/>
      <c r="E18" s="122" t="e">
        <f>VLOOKUP(Table257519913140106110130[[#This Row],[PEG]],Table1016[#All],3,FALSE)</f>
        <v>#N/A</v>
      </c>
    </row>
    <row r="19" spans="1:5" ht="30">
      <c r="A19" s="114">
        <v>12</v>
      </c>
      <c r="B19" s="110" t="s">
        <v>115</v>
      </c>
      <c r="C19" s="105" t="str">
        <f>VLOOKUP(Table257519913140106110130[[#This Row],[PEG]],Table1016[#All],2,FALSE)</f>
        <v>0310-1.wav Your request to transfer ownership was processed on &lt;date&gt;. Would you like me to send you a copy of the confirmation letter? &lt;pause&gt; If you would like to speak with someone, just say "representative."</v>
      </c>
      <c r="D19" s="154">
        <v>310</v>
      </c>
      <c r="E19" s="122" t="str">
        <f>VLOOKUP(Table257519913140106110130[[#This Row],[PEG]],Table1016[#All],3,FALSE)</f>
        <v>PLAY PROMPT</v>
      </c>
    </row>
    <row r="20" spans="1:5">
      <c r="A20" s="114">
        <v>13</v>
      </c>
      <c r="B20" s="110" t="s">
        <v>12</v>
      </c>
      <c r="C20" s="151" t="s">
        <v>607</v>
      </c>
      <c r="D20" s="113"/>
      <c r="E20" s="122" t="e">
        <f>VLOOKUP(Table257519913140106110130[[#This Row],[PEG]],Table1016[#All],3,FALSE)</f>
        <v>#N/A</v>
      </c>
    </row>
    <row r="21" spans="1:5">
      <c r="A21" s="114">
        <v>14</v>
      </c>
      <c r="B21" s="110" t="s">
        <v>12</v>
      </c>
      <c r="C21" s="105" t="str">
        <f>VLOOKUP(Table257519913140106110130[[#This Row],[PEG]],Table1016[#All],2,FALSE)</f>
        <v>Sorry.</v>
      </c>
      <c r="D21" s="113" t="s">
        <v>295</v>
      </c>
      <c r="E21" s="122" t="str">
        <f>VLOOKUP(Table257519913140106110130[[#This Row],[PEG]],Table1016[#All],3,FALSE)</f>
        <v>PLAY PROMPT</v>
      </c>
    </row>
    <row r="22" spans="1:5" ht="30">
      <c r="A22" s="114">
        <v>15</v>
      </c>
      <c r="B22" s="110" t="s">
        <v>12</v>
      </c>
      <c r="C22" s="105" t="str">
        <f>VLOOKUP(Table257519913140106110130[[#This Row],[PEG]],Table1016[#All],2,FALSE)</f>
        <v>310StatusSendLetter3.wav Would you like me to send you a copy of the confirmation letter?  &lt;pause&gt; If you would like to speak with someone, just say "representative."</v>
      </c>
      <c r="D22" s="113" t="s">
        <v>380</v>
      </c>
      <c r="E22" s="122" t="str">
        <f>VLOOKUP(Table257519913140106110130[[#This Row],[PEG]],Table1016[#All],3,FALSE)</f>
        <v>MENU PROMPT</v>
      </c>
    </row>
    <row r="23" spans="1:5">
      <c r="A23" s="114">
        <v>16</v>
      </c>
      <c r="B23" s="110" t="s">
        <v>12</v>
      </c>
      <c r="C23" s="151" t="s">
        <v>607</v>
      </c>
      <c r="D23" s="113"/>
      <c r="E23" s="122" t="e">
        <f>VLOOKUP(Table257519913140106110130[[#This Row],[PEG]],Table1016[#All],3,FALSE)</f>
        <v>#N/A</v>
      </c>
    </row>
    <row r="24" spans="1:5">
      <c r="A24" s="114">
        <v>17</v>
      </c>
      <c r="B24" s="110" t="s">
        <v>114</v>
      </c>
      <c r="C24" s="105" t="str">
        <f>VLOOKUP(Table257519913140106110130[[#This Row],[PEG]],Table1016[#All],2,FALSE)</f>
        <v>Sorry, I'm having trouble</v>
      </c>
      <c r="D24" s="113" t="s">
        <v>297</v>
      </c>
      <c r="E24" s="122" t="str">
        <f>VLOOKUP(Table257519913140106110130[[#This Row],[PEG]],Table1016[#All],3,FALSE)</f>
        <v>PLAY PROMPT</v>
      </c>
    </row>
    <row r="25" spans="1:5">
      <c r="A25" s="114">
        <v>18</v>
      </c>
      <c r="B25" s="110" t="s">
        <v>12</v>
      </c>
      <c r="C25" s="105" t="str">
        <f>VLOOKUP(Table257519913140106110130[[#This Row],[PEG]],Table1016[#All],2,FALSE)</f>
        <v>0900.wav Please hold, while I connect you to a customer service representative.</v>
      </c>
      <c r="D25" s="113">
        <v>900</v>
      </c>
      <c r="E25" s="122" t="str">
        <f>VLOOKUP(Table257519913140106110130[[#This Row],[PEG]],Table1016[#All],3,FALSE)</f>
        <v>PLAY PROMPT</v>
      </c>
    </row>
    <row r="26" spans="1:5">
      <c r="A26" s="114">
        <v>19</v>
      </c>
      <c r="B26" s="110" t="s">
        <v>12</v>
      </c>
      <c r="C26" s="105" t="str">
        <f>VLOOKUP(Table257519913140106110130[[#This Row],[PEG]],Table1016[#All],2,FALSE)</f>
        <v>XferNbr.wav Transfer Number &lt;TransferNbr&gt;</v>
      </c>
      <c r="D26" s="113" t="s">
        <v>480</v>
      </c>
      <c r="E26" s="122" t="str">
        <f>VLOOKUP(Table257519913140106110130[[#This Row],[PEG]],Table1016[#All],3,FALSE)</f>
        <v>TEST</v>
      </c>
    </row>
    <row r="27" spans="1:5">
      <c r="A27" s="114">
        <v>20</v>
      </c>
      <c r="B27" s="110" t="s">
        <v>13</v>
      </c>
      <c r="C27" s="17" t="s">
        <v>13</v>
      </c>
      <c r="D27" s="111"/>
      <c r="E27" s="31"/>
    </row>
  </sheetData>
  <mergeCells count="1">
    <mergeCell ref="A1:B1"/>
  </mergeCells>
  <conditionalFormatting sqref="B8 B27">
    <cfRule type="containsText" dxfId="2550" priority="8" operator="containsText" text="Hear">
      <formula>NOT(ISERROR(SEARCH("Hear",B8)))</formula>
    </cfRule>
  </conditionalFormatting>
  <conditionalFormatting sqref="E27">
    <cfRule type="containsText" dxfId="2549" priority="13" operator="containsText" text="WEB SERVICE">
      <formula>NOT(ISERROR(SEARCH("WEB SERVICE",E27)))</formula>
    </cfRule>
    <cfRule type="containsText" dxfId="2548" priority="14" operator="containsText" text="DB">
      <formula>NOT(ISERROR(SEARCH("DB",E27)))</formula>
    </cfRule>
  </conditionalFormatting>
  <conditionalFormatting sqref="C27">
    <cfRule type="expression" dxfId="2547" priority="16">
      <formula>$B27="Dial"</formula>
    </cfRule>
    <cfRule type="expression" dxfId="2546" priority="18">
      <formula>$B27="HANGUP"</formula>
    </cfRule>
  </conditionalFormatting>
  <conditionalFormatting sqref="C27">
    <cfRule type="expression" dxfId="2545" priority="17">
      <formula>$B27="Speak"</formula>
    </cfRule>
  </conditionalFormatting>
  <conditionalFormatting sqref="B20:B26">
    <cfRule type="containsText" dxfId="2544" priority="12" operator="containsText" text="Hear">
      <formula>NOT(ISERROR(SEARCH("Hear",B20)))</formula>
    </cfRule>
  </conditionalFormatting>
  <conditionalFormatting sqref="B9:B19">
    <cfRule type="containsText" dxfId="2543" priority="7" operator="containsText" text="Hear">
      <formula>NOT(ISERROR(SEARCH("Hear",B9)))</formula>
    </cfRule>
  </conditionalFormatting>
  <hyperlinks>
    <hyperlink ref="A1" location="'Test Case Overview'!A1" display="Return to Test Case Overview" xr:uid="{00000000-0004-0000-73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9" id="{EB45EDD6-374C-4802-9F34-13BDE7AB7AA9}">
            <xm:f>'TC1'!$B8="Speak"</xm:f>
            <x14:dxf>
              <font>
                <b/>
                <i val="0"/>
                <color rgb="FFFF0000"/>
              </font>
            </x14:dxf>
          </x14:cfRule>
          <xm:sqref>C8</xm:sqref>
        </x14:conditionalFormatting>
        <x14:conditionalFormatting xmlns:xm="http://schemas.microsoft.com/office/excel/2006/main">
          <x14:cfRule type="containsText" priority="9" operator="containsText" text="WEB SERVICE" id="{A8DEE675-1E84-4696-BEA1-7D097B6F16C8}">
            <xm:f>NOT(ISERROR(SEARCH("WEB SERVICE",'TC1'!E10)))</xm:f>
            <x14:dxf>
              <font>
                <color rgb="FF9C0006"/>
              </font>
              <fill>
                <patternFill>
                  <bgColor rgb="FFFFC7CE"/>
                </patternFill>
              </fill>
            </x14:dxf>
          </x14:cfRule>
          <x14:cfRule type="containsText" priority="20" operator="containsText" text="DB" id="{57899273-9407-42C7-AB25-87913D031207}">
            <xm:f>NOT(ISERROR(SEARCH("DB",'TC1'!E10)))</xm:f>
            <x14:dxf>
              <font>
                <color rgb="FF006100"/>
              </font>
              <fill>
                <patternFill>
                  <bgColor rgb="FFC6EFCE"/>
                </patternFill>
              </fill>
            </x14:dxf>
          </x14:cfRule>
          <xm:sqref>E9:E12</xm:sqref>
        </x14:conditionalFormatting>
        <x14:conditionalFormatting xmlns:xm="http://schemas.microsoft.com/office/excel/2006/main">
          <x14:cfRule type="expression" priority="23" id="{99A41ED2-64C8-4EF2-828E-091B907E0017}">
            <xm:f>'TC1'!$B8="Dial"</xm:f>
            <x14:dxf>
              <font>
                <b/>
                <i val="0"/>
                <color rgb="FFFF0000"/>
              </font>
            </x14:dxf>
          </x14:cfRule>
          <x14:cfRule type="expression" priority="23" id="{DB513F5B-7658-4BC3-9574-EC6FEBB82419}">
            <xm:f>'TC1'!$B8="HANGUP"</xm:f>
            <x14:dxf>
              <font>
                <b/>
                <i val="0"/>
              </font>
            </x14:dxf>
          </x14:cfRule>
          <xm:sqref>C8</xm:sqref>
        </x14:conditionalFormatting>
        <x14:conditionalFormatting xmlns:xm="http://schemas.microsoft.com/office/excel/2006/main">
          <x14:cfRule type="expression" priority="2573" id="{EB45EDD6-374C-4802-9F34-13BDE7AB7AA9}">
            <xm:f>'TC1'!#REF!="Speak"</xm:f>
            <x14:dxf>
              <font>
                <b/>
                <i val="0"/>
                <color rgb="FFFF0000"/>
              </font>
            </x14:dxf>
          </x14:cfRule>
          <xm:sqref>C13:C15 C17 C19:C26</xm:sqref>
        </x14:conditionalFormatting>
        <x14:conditionalFormatting xmlns:xm="http://schemas.microsoft.com/office/excel/2006/main">
          <x14:cfRule type="containsText" priority="2579" operator="containsText" text="WEB SERVICE" id="{A8DEE675-1E84-4696-BEA1-7D097B6F16C8}">
            <xm:f>NOT(ISERROR(SEARCH("WEB SERVICE",'TC1'!#REF!)))</xm:f>
            <x14:dxf>
              <font>
                <color rgb="FF9C0006"/>
              </font>
              <fill>
                <patternFill>
                  <bgColor rgb="FFFFC7CE"/>
                </patternFill>
              </fill>
            </x14:dxf>
          </x14:cfRule>
          <x14:cfRule type="containsText" priority="2580" operator="containsText" text="DB" id="{57899273-9407-42C7-AB25-87913D031207}">
            <xm:f>NOT(ISERROR(SEARCH("DB",'TC1'!#REF!)))</xm:f>
            <x14:dxf>
              <font>
                <color rgb="FF006100"/>
              </font>
              <fill>
                <patternFill>
                  <bgColor rgb="FFC6EFCE"/>
                </patternFill>
              </fill>
            </x14:dxf>
          </x14:cfRule>
          <xm:sqref>E13:E26</xm:sqref>
        </x14:conditionalFormatting>
        <x14:conditionalFormatting xmlns:xm="http://schemas.microsoft.com/office/excel/2006/main">
          <x14:cfRule type="expression" priority="2587" id="{99A41ED2-64C8-4EF2-828E-091B907E0017}">
            <xm:f>'TC1'!#REF!="Dial"</xm:f>
            <x14:dxf>
              <font>
                <b/>
                <i val="0"/>
                <color rgb="FFFF0000"/>
              </font>
            </x14:dxf>
          </x14:cfRule>
          <x14:cfRule type="expression" priority="2588" id="{DB513F5B-7658-4BC3-9574-EC6FEBB82419}">
            <xm:f>'TC1'!#REF!="HANGUP"</xm:f>
            <x14:dxf>
              <font>
                <b/>
                <i val="0"/>
              </font>
            </x14:dxf>
          </x14:cfRule>
          <xm:sqref>C13:C15 C17 C19:C26</xm:sqref>
        </x14:conditionalFormatting>
        <x14:conditionalFormatting xmlns:xm="http://schemas.microsoft.com/office/excel/2006/main">
          <x14:cfRule type="expression" priority="4284" id="{EB45EDD6-374C-4802-9F34-13BDE7AB7AA9}">
            <xm:f>'TC1'!$B10="Speak"</xm:f>
            <x14:dxf>
              <font>
                <b/>
                <i val="0"/>
                <color rgb="FFFF0000"/>
              </font>
            </x14:dxf>
          </x14:cfRule>
          <xm:sqref>C9:C12</xm:sqref>
        </x14:conditionalFormatting>
        <x14:conditionalFormatting xmlns:xm="http://schemas.microsoft.com/office/excel/2006/main">
          <x14:cfRule type="expression" priority="4289" id="{99A41ED2-64C8-4EF2-828E-091B907E0017}">
            <xm:f>'TC1'!$B10="Dial"</xm:f>
            <x14:dxf>
              <font>
                <b/>
                <i val="0"/>
                <color rgb="FFFF0000"/>
              </font>
            </x14:dxf>
          </x14:cfRule>
          <x14:cfRule type="expression" priority="4290" id="{DB513F5B-7658-4BC3-9574-EC6FEBB82419}">
            <xm:f>'TC1'!$B10="HANGUP"</xm:f>
            <x14:dxf>
              <font>
                <b/>
                <i val="0"/>
              </font>
            </x14:dxf>
          </x14:cfRule>
          <xm:sqref>C9:C12</xm:sqref>
        </x14:conditionalFormatting>
        <x14:conditionalFormatting xmlns:xm="http://schemas.microsoft.com/office/excel/2006/main">
          <x14:cfRule type="expression" priority="4" id="{36AE5DF6-5FD1-47D0-B9E2-57B20D7B1879}">
            <xm:f>'\Users\deannah\Wyndham Testing\[Wyndham Destinations_TestCaseOverview_V3_Template.xlsx]TC1'!#REF!="HANGUP"</xm:f>
            <x14:dxf>
              <font>
                <b/>
                <i val="0"/>
              </font>
            </x14:dxf>
          </x14:cfRule>
          <x14:cfRule type="expression" priority="5" id="{F054CF43-5509-40CC-8A06-BA896AB815FF}">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6" id="{61444AAE-E3D6-496A-8C7C-BCE8CD5BF8AD}">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1" id="{F7367E80-9C54-48F3-8310-19914278B927}">
            <xm:f>'\Users\deannah\Wyndham Testing\[Wyndham Destinations_TestCaseOverview_V3_Template.xlsx]TC1'!#REF!="HANGUP"</xm:f>
            <x14:dxf>
              <font>
                <b/>
                <i val="0"/>
              </font>
            </x14:dxf>
          </x14:cfRule>
          <x14:cfRule type="expression" priority="2" id="{0C650080-8361-4CBB-B931-129817F4054D}">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3" id="{804766B7-16FF-40AC-AE50-CD568843F06F}">
            <xm:f>'\Users\deannah\Wyndham Testing\[Wyndham Destinations_TestCaseOverview_V3_Template.xlsx]TC1'!#REF!="Speak"</xm:f>
            <x14:dxf>
              <font>
                <b/>
                <i val="0"/>
                <color rgb="FFFF0000"/>
              </font>
            </x14:dxf>
          </x14:cfRule>
          <xm:sqref>C18</xm:sqref>
        </x14:conditionalFormatting>
      </x14:conditionalFormattings>
    </ext>
  </extLst>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sheetPr codeName="Sheet118"/>
  <dimension ref="A1:E27"/>
  <sheetViews>
    <sheetView zoomScaleNormal="100" workbookViewId="0">
      <selection activeCell="C4" sqref="C3:C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TC116</v>
      </c>
      <c r="C2" s="94"/>
      <c r="D2" s="107"/>
      <c r="E2" s="93"/>
    </row>
    <row r="3" spans="1:5">
      <c r="A3" s="100" t="s">
        <v>19</v>
      </c>
      <c r="B3" s="108">
        <f ca="1">VLOOKUP(B2,Table1[#All],2,FALSE)</f>
        <v>0</v>
      </c>
      <c r="C3" s="94"/>
      <c r="D3" s="107"/>
      <c r="E3" s="93"/>
    </row>
    <row r="4" spans="1:5" ht="30">
      <c r="A4" s="109" t="s">
        <v>20</v>
      </c>
      <c r="B4" s="95" t="str">
        <f ca="1">VLOOKUP(B2,Table1[#All],4,FALSE)</f>
        <v>3 or less contracts, Autopay active, has current amt due</v>
      </c>
      <c r="C4" s="94"/>
      <c r="D4" s="107"/>
      <c r="E4" s="93"/>
    </row>
    <row r="5" spans="1:5" ht="60">
      <c r="A5" s="100" t="s">
        <v>6</v>
      </c>
      <c r="B5" s="75" t="str">
        <f ca="1">VLOOKUP(B2,Table1[#All],3,FALSE)</f>
        <v>CallStart Main Menu/Pmts/check status/ serviceType=check Status/ID Auth/ID Auth True,Finance Exception code=else/Say No, to make a payment today/no match 2X/ Xfer</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VLOOKUP(Table257519913140106110134[[#This Row],[PEG]],Table1016[#All],2,FALSE)</f>
        <v>CallID.wav Call ID &lt;CallID&gt;</v>
      </c>
      <c r="D9" s="145" t="s">
        <v>477</v>
      </c>
      <c r="E9" s="122" t="str">
        <f>VLOOKUP(Table257519913140106110134[[#This Row],[PEG]],Table1016[#All],3,FALSE)</f>
        <v>TEST</v>
      </c>
    </row>
    <row r="10" spans="1:5" ht="30">
      <c r="A10" s="114">
        <v>3</v>
      </c>
      <c r="B10" s="110" t="s">
        <v>115</v>
      </c>
      <c r="C10" s="105" t="str">
        <f>VLOOKUP(Table257519913140106110134[[#This Row],[PEG]],Table1016[#All],2,FALSE)</f>
        <v>0100.wav Thank you for calling Shell vacations Club, we are glad you called. Please have your account number available for faster service. [To continue in Spanish, press 9]</v>
      </c>
      <c r="D10" s="145">
        <v>100</v>
      </c>
      <c r="E10" s="122" t="str">
        <f>VLOOKUP(Table257519913140106110134[[#This Row],[PEG]],Table1016[#All],3,FALSE)</f>
        <v>PLAY PROMPT</v>
      </c>
    </row>
    <row r="11" spans="1:5" ht="30">
      <c r="A11" s="114">
        <v>4</v>
      </c>
      <c r="B11" s="110" t="s">
        <v>115</v>
      </c>
      <c r="C11" s="105" t="str">
        <f>VLOOKUP(Table257519913140106110134[[#This Row],[PEG]],Table1016[#All],2,FALSE)</f>
        <v>0110-1.wav Which would you like? You can say... reservations, payments &amp; statements, title &amp; ownership changes, or more options.</v>
      </c>
      <c r="D11" s="145">
        <v>110</v>
      </c>
      <c r="E11" s="122" t="str">
        <f>VLOOKUP(Table257519913140106110134[[#This Row],[PEG]],Table1016[#All],3,FALSE)</f>
        <v>MENU PROMPT</v>
      </c>
    </row>
    <row r="12" spans="1:5">
      <c r="A12" s="114">
        <v>5</v>
      </c>
      <c r="B12" s="110" t="s">
        <v>124</v>
      </c>
      <c r="C12" s="158" t="s">
        <v>565</v>
      </c>
      <c r="D12" s="145"/>
      <c r="E12" s="122" t="e">
        <f>VLOOKUP(Table257519913140106110134[[#This Row],[PEG]],Table1016[#All],3,FALSE)</f>
        <v>#N/A</v>
      </c>
    </row>
    <row r="13" spans="1:5" ht="30">
      <c r="A13" s="114">
        <v>6</v>
      </c>
      <c r="B13" s="110" t="s">
        <v>115</v>
      </c>
      <c r="C13" s="105" t="str">
        <f>VLOOKUP(Table257519913140106110134[[#This Row],[PEG]],Table1016[#All],2,FALSE)</f>
        <v>400.wav You can say make a payment, check account status, request a document, or more options. Which would you like?</v>
      </c>
      <c r="D13" s="145">
        <v>400</v>
      </c>
      <c r="E13" s="122" t="str">
        <f>VLOOKUP(Table257519913140106110134[[#This Row],[PEG]],Table1016[#All],3,FALSE)</f>
        <v>MENU PROMPT</v>
      </c>
    </row>
    <row r="14" spans="1:5">
      <c r="A14" s="114">
        <v>7</v>
      </c>
      <c r="B14" s="110" t="s">
        <v>124</v>
      </c>
      <c r="C14" s="151" t="s">
        <v>495</v>
      </c>
      <c r="D14" s="125"/>
      <c r="E14" s="122" t="e">
        <f>VLOOKUP(Table257519913140106110134[[#This Row],[PEG]],Table1016[#All],3,FALSE)</f>
        <v>#N/A</v>
      </c>
    </row>
    <row r="15" spans="1:5">
      <c r="A15" s="114">
        <v>8</v>
      </c>
      <c r="B15" s="110" t="s">
        <v>115</v>
      </c>
      <c r="C15" s="105" t="str">
        <f>VLOOKUP(Table257519913140106110134[[#This Row],[PEG]],Table1016[#All],2,FALSE)</f>
        <v>0200-1.wav To get started, what is your account number?</v>
      </c>
      <c r="D15" s="112">
        <v>200</v>
      </c>
      <c r="E15" s="122" t="str">
        <f>VLOOKUP(Table257519913140106110134[[#This Row],[PEG]],Table1016[#All],3,FALSE)</f>
        <v>MENU PROMPT</v>
      </c>
    </row>
    <row r="16" spans="1:5">
      <c r="A16" s="114">
        <v>9</v>
      </c>
      <c r="B16" s="110" t="s">
        <v>114</v>
      </c>
      <c r="C16" s="151" t="s">
        <v>515</v>
      </c>
      <c r="D16" s="112"/>
      <c r="E16" s="122" t="e">
        <f>VLOOKUP(Table257519913140106110134[[#This Row],[PEG]],Table1016[#All],3,FALSE)</f>
        <v>#N/A</v>
      </c>
    </row>
    <row r="17" spans="1:5">
      <c r="A17" s="114">
        <v>10</v>
      </c>
      <c r="B17" s="110" t="s">
        <v>115</v>
      </c>
      <c r="C17" s="105" t="str">
        <f>VLOOKUP(Table257519913140106110134[[#This Row],[PEG]],Table1016[#All],2,FALSE)</f>
        <v>0210-1.wav And the date of birth for the primary owner?</v>
      </c>
      <c r="D17" s="113">
        <v>210</v>
      </c>
      <c r="E17" s="122" t="str">
        <f>VLOOKUP(Table257519913140106110134[[#This Row],[PEG]],Table1016[#All],3,FALSE)</f>
        <v>MENU PROMPT</v>
      </c>
    </row>
    <row r="18" spans="1:5">
      <c r="A18" s="114">
        <v>11</v>
      </c>
      <c r="B18" s="110" t="s">
        <v>124</v>
      </c>
      <c r="C18" s="151" t="s">
        <v>614</v>
      </c>
      <c r="D18" s="113"/>
      <c r="E18" s="122" t="e">
        <f>VLOOKUP(Table257519913140106110134[[#This Row],[PEG]],Table1016[#All],3,FALSE)</f>
        <v>#N/A</v>
      </c>
    </row>
    <row r="19" spans="1:5" ht="30">
      <c r="A19" s="114">
        <v>12</v>
      </c>
      <c r="B19" s="110" t="s">
        <v>115</v>
      </c>
      <c r="C19" s="105" t="str">
        <f>VLOOKUP(Table257519913140106110134[[#This Row],[PEG]],Table1016[#All],2,FALSE)</f>
        <v>0450-1.wav Your current amount due is [amount] which includes a loan payment of [amount] for contract number(s) [xxxxxxxxxx] and an assessment balance of [amount]. Would you like to make a payment today?</v>
      </c>
      <c r="D19" s="113">
        <v>450</v>
      </c>
      <c r="E19" s="122" t="str">
        <f>VLOOKUP(Table257519913140106110134[[#This Row],[PEG]],Table1016[#All],3,FALSE)</f>
        <v>MENU PROMPT</v>
      </c>
    </row>
    <row r="20" spans="1:5">
      <c r="A20" s="114">
        <v>13</v>
      </c>
      <c r="B20" s="110" t="s">
        <v>114</v>
      </c>
      <c r="C20" s="151" t="s">
        <v>1</v>
      </c>
      <c r="D20" s="113"/>
      <c r="E20" s="122" t="e">
        <f>VLOOKUP(Table257519913140106110134[[#This Row],[PEG]],Table1016[#All],3,FALSE)</f>
        <v>#N/A</v>
      </c>
    </row>
    <row r="21" spans="1:5">
      <c r="A21" s="114">
        <v>14</v>
      </c>
      <c r="B21" s="110" t="s">
        <v>115</v>
      </c>
      <c r="C21" s="105" t="str">
        <f>VLOOKUP(Table257519913140106110134[[#This Row],[PEG]],Table1016[#All],2,FALSE)</f>
        <v>Sorry.</v>
      </c>
      <c r="D21" s="113" t="s">
        <v>295</v>
      </c>
      <c r="E21" s="122" t="str">
        <f>VLOOKUP(Table257519913140106110134[[#This Row],[PEG]],Table1016[#All],3,FALSE)</f>
        <v>PLAY PROMPT</v>
      </c>
    </row>
    <row r="22" spans="1:5" ht="30">
      <c r="A22" s="114">
        <v>15</v>
      </c>
      <c r="B22" s="110" t="s">
        <v>115</v>
      </c>
      <c r="C22" s="105" t="str">
        <f>VLOOKUP(Table257519913140106110134[[#This Row],[PEG]],Table1016[#All],2,FALSE)</f>
        <v>0450PaymentToday.wav Would you like to make a payment today? Press 1 for yes or 2 for no. To speak to a representative, press 0</v>
      </c>
      <c r="D22" s="113" t="s">
        <v>385</v>
      </c>
      <c r="E22" s="122" t="str">
        <f>VLOOKUP(Table257519913140106110134[[#This Row],[PEG]],Table1016[#All],3,FALSE)</f>
        <v>MENU PROMPT</v>
      </c>
    </row>
    <row r="23" spans="1:5">
      <c r="A23" s="114">
        <v>16</v>
      </c>
      <c r="B23" s="110" t="s">
        <v>114</v>
      </c>
      <c r="C23" s="151" t="s">
        <v>1</v>
      </c>
      <c r="D23" s="113"/>
      <c r="E23" s="122" t="e">
        <f>VLOOKUP(Table257519913140106110134[[#This Row],[PEG]],Table1016[#All],3,FALSE)</f>
        <v>#N/A</v>
      </c>
    </row>
    <row r="24" spans="1:5">
      <c r="A24" s="114">
        <v>17</v>
      </c>
      <c r="B24" s="110" t="s">
        <v>115</v>
      </c>
      <c r="C24" s="105" t="str">
        <f>VLOOKUP(Table257519913140106110134[[#This Row],[PEG]],Table1016[#All],2,FALSE)</f>
        <v>Sorry, I'm having trouble</v>
      </c>
      <c r="D24" s="113" t="s">
        <v>297</v>
      </c>
      <c r="E24" s="122" t="str">
        <f>VLOOKUP(Table257519913140106110134[[#This Row],[PEG]],Table1016[#All],3,FALSE)</f>
        <v>PLAY PROMPT</v>
      </c>
    </row>
    <row r="25" spans="1:5">
      <c r="A25" s="114">
        <v>18</v>
      </c>
      <c r="B25" s="110" t="s">
        <v>115</v>
      </c>
      <c r="C25" s="105" t="str">
        <f>VLOOKUP(Table257519913140106110134[[#This Row],[PEG]],Table1016[#All],2,FALSE)</f>
        <v>0900.wav Please hold, while I connect you to a customer service representative.</v>
      </c>
      <c r="D25" s="113">
        <v>900</v>
      </c>
      <c r="E25" s="122" t="str">
        <f>VLOOKUP(Table257519913140106110134[[#This Row],[PEG]],Table1016[#All],3,FALSE)</f>
        <v>PLAY PROMPT</v>
      </c>
    </row>
    <row r="26" spans="1:5">
      <c r="A26" s="114">
        <v>19</v>
      </c>
      <c r="B26" s="110" t="s">
        <v>115</v>
      </c>
      <c r="C26" s="105" t="str">
        <f>VLOOKUP(Table257519913140106110134[[#This Row],[PEG]],Table1016[#All],2,FALSE)</f>
        <v>XferNbr.wav Transfer Number &lt;TransferNbr&gt;</v>
      </c>
      <c r="D26" s="113" t="s">
        <v>480</v>
      </c>
      <c r="E26" s="122" t="str">
        <f>VLOOKUP(Table257519913140106110134[[#This Row],[PEG]],Table1016[#All],3,FALSE)</f>
        <v>TEST</v>
      </c>
    </row>
    <row r="27" spans="1:5">
      <c r="A27" s="114">
        <v>20</v>
      </c>
      <c r="B27" s="110" t="s">
        <v>13</v>
      </c>
      <c r="C27" s="17" t="s">
        <v>13</v>
      </c>
      <c r="D27" s="111"/>
      <c r="E27" s="31"/>
    </row>
  </sheetData>
  <mergeCells count="1">
    <mergeCell ref="A1:B1"/>
  </mergeCells>
  <conditionalFormatting sqref="B8 B27">
    <cfRule type="containsText" dxfId="2514" priority="9" operator="containsText" text="Hear">
      <formula>NOT(ISERROR(SEARCH("Hear",B8)))</formula>
    </cfRule>
  </conditionalFormatting>
  <conditionalFormatting sqref="E27">
    <cfRule type="containsText" dxfId="2513" priority="14" operator="containsText" text="WEB SERVICE">
      <formula>NOT(ISERROR(SEARCH("WEB SERVICE",E27)))</formula>
    </cfRule>
    <cfRule type="containsText" dxfId="2512" priority="15" operator="containsText" text="DB">
      <formula>NOT(ISERROR(SEARCH("DB",E27)))</formula>
    </cfRule>
  </conditionalFormatting>
  <conditionalFormatting sqref="C27">
    <cfRule type="expression" dxfId="2511" priority="17">
      <formula>$B27="Dial"</formula>
    </cfRule>
    <cfRule type="expression" dxfId="2510" priority="19">
      <formula>$B27="HANGUP"</formula>
    </cfRule>
  </conditionalFormatting>
  <conditionalFormatting sqref="C27">
    <cfRule type="expression" dxfId="2509" priority="18">
      <formula>$B27="Speak"</formula>
    </cfRule>
  </conditionalFormatting>
  <conditionalFormatting sqref="B22:B26">
    <cfRule type="containsText" dxfId="2508" priority="13" operator="containsText" text="Hear">
      <formula>NOT(ISERROR(SEARCH("Hear",B22)))</formula>
    </cfRule>
  </conditionalFormatting>
  <conditionalFormatting sqref="B9:B18">
    <cfRule type="containsText" dxfId="2507" priority="7" operator="containsText" text="Hear">
      <formula>NOT(ISERROR(SEARCH("Hear",B9)))</formula>
    </cfRule>
  </conditionalFormatting>
  <conditionalFormatting sqref="B19:B21">
    <cfRule type="containsText" dxfId="2506" priority="8" operator="containsText" text="Hear">
      <formula>NOT(ISERROR(SEARCH("Hear",B19)))</formula>
    </cfRule>
  </conditionalFormatting>
  <hyperlinks>
    <hyperlink ref="A1" location="'Test Case Overview'!A1" display="Return to Test Case Overview" xr:uid="{00000000-0004-0000-74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0" id="{D2E48D38-1D9A-472B-91B4-054C75919FE0}">
            <xm:f>'TC1'!$B8="Speak"</xm:f>
            <x14:dxf>
              <font>
                <b/>
                <i val="0"/>
                <color rgb="FFFF0000"/>
              </font>
            </x14:dxf>
          </x14:cfRule>
          <xm:sqref>C8</xm:sqref>
        </x14:conditionalFormatting>
        <x14:conditionalFormatting xmlns:xm="http://schemas.microsoft.com/office/excel/2006/main">
          <x14:cfRule type="containsText" priority="10" operator="containsText" text="WEB SERVICE" id="{BE43C30D-ACA7-4D08-8A44-5A4C84431EB0}">
            <xm:f>NOT(ISERROR(SEARCH("WEB SERVICE",'TC1'!E10)))</xm:f>
            <x14:dxf>
              <font>
                <color rgb="FF9C0006"/>
              </font>
              <fill>
                <patternFill>
                  <bgColor rgb="FFFFC7CE"/>
                </patternFill>
              </fill>
            </x14:dxf>
          </x14:cfRule>
          <x14:cfRule type="containsText" priority="21" operator="containsText" text="DB" id="{C6CC1FAC-FD53-4A3E-A35A-43AA33A41185}">
            <xm:f>NOT(ISERROR(SEARCH("DB",'TC1'!E10)))</xm:f>
            <x14:dxf>
              <font>
                <color rgb="FF006100"/>
              </font>
              <fill>
                <patternFill>
                  <bgColor rgb="FFC6EFCE"/>
                </patternFill>
              </fill>
            </x14:dxf>
          </x14:cfRule>
          <xm:sqref>E9:E12</xm:sqref>
        </x14:conditionalFormatting>
        <x14:conditionalFormatting xmlns:xm="http://schemas.microsoft.com/office/excel/2006/main">
          <x14:cfRule type="expression" priority="24" id="{5DAF338E-94E5-49D0-814C-01D986C2EDF0}">
            <xm:f>'TC1'!$B8="Dial"</xm:f>
            <x14:dxf>
              <font>
                <b/>
                <i val="0"/>
                <color rgb="FFFF0000"/>
              </font>
            </x14:dxf>
          </x14:cfRule>
          <x14:cfRule type="expression" priority="24" id="{FD6CF4D5-B027-466E-93BB-684EDB167A84}">
            <xm:f>'TC1'!$B8="HANGUP"</xm:f>
            <x14:dxf>
              <font>
                <b/>
                <i val="0"/>
              </font>
            </x14:dxf>
          </x14:cfRule>
          <xm:sqref>C8</xm:sqref>
        </x14:conditionalFormatting>
        <x14:conditionalFormatting xmlns:xm="http://schemas.microsoft.com/office/excel/2006/main">
          <x14:cfRule type="expression" priority="2594" id="{D2E48D38-1D9A-472B-91B4-054C75919FE0}">
            <xm:f>'TC1'!#REF!="Speak"</xm:f>
            <x14:dxf>
              <font>
                <b/>
                <i val="0"/>
                <color rgb="FFFF0000"/>
              </font>
            </x14:dxf>
          </x14:cfRule>
          <xm:sqref>C13:C15 C17 C19:C26</xm:sqref>
        </x14:conditionalFormatting>
        <x14:conditionalFormatting xmlns:xm="http://schemas.microsoft.com/office/excel/2006/main">
          <x14:cfRule type="containsText" priority="2600" operator="containsText" text="WEB SERVICE" id="{BE43C30D-ACA7-4D08-8A44-5A4C84431EB0}">
            <xm:f>NOT(ISERROR(SEARCH("WEB SERVICE",'TC1'!#REF!)))</xm:f>
            <x14:dxf>
              <font>
                <color rgb="FF9C0006"/>
              </font>
              <fill>
                <patternFill>
                  <bgColor rgb="FFFFC7CE"/>
                </patternFill>
              </fill>
            </x14:dxf>
          </x14:cfRule>
          <x14:cfRule type="containsText" priority="2601" operator="containsText" text="DB" id="{C6CC1FAC-FD53-4A3E-A35A-43AA33A41185}">
            <xm:f>NOT(ISERROR(SEARCH("DB",'TC1'!#REF!)))</xm:f>
            <x14:dxf>
              <font>
                <color rgb="FF006100"/>
              </font>
              <fill>
                <patternFill>
                  <bgColor rgb="FFC6EFCE"/>
                </patternFill>
              </fill>
            </x14:dxf>
          </x14:cfRule>
          <xm:sqref>E13:E26</xm:sqref>
        </x14:conditionalFormatting>
        <x14:conditionalFormatting xmlns:xm="http://schemas.microsoft.com/office/excel/2006/main">
          <x14:cfRule type="expression" priority="2608" id="{5DAF338E-94E5-49D0-814C-01D986C2EDF0}">
            <xm:f>'TC1'!#REF!="Dial"</xm:f>
            <x14:dxf>
              <font>
                <b/>
                <i val="0"/>
                <color rgb="FFFF0000"/>
              </font>
            </x14:dxf>
          </x14:cfRule>
          <x14:cfRule type="expression" priority="2609" id="{FD6CF4D5-B027-466E-93BB-684EDB167A84}">
            <xm:f>'TC1'!#REF!="HANGUP"</xm:f>
            <x14:dxf>
              <font>
                <b/>
                <i val="0"/>
              </font>
            </x14:dxf>
          </x14:cfRule>
          <xm:sqref>C13:C15 C17 C19:C26</xm:sqref>
        </x14:conditionalFormatting>
        <x14:conditionalFormatting xmlns:xm="http://schemas.microsoft.com/office/excel/2006/main">
          <x14:cfRule type="expression" priority="4293" id="{D2E48D38-1D9A-472B-91B4-054C75919FE0}">
            <xm:f>'TC1'!$B10="Speak"</xm:f>
            <x14:dxf>
              <font>
                <b/>
                <i val="0"/>
                <color rgb="FFFF0000"/>
              </font>
            </x14:dxf>
          </x14:cfRule>
          <xm:sqref>C9:C12</xm:sqref>
        </x14:conditionalFormatting>
        <x14:conditionalFormatting xmlns:xm="http://schemas.microsoft.com/office/excel/2006/main">
          <x14:cfRule type="expression" priority="4298" id="{5DAF338E-94E5-49D0-814C-01D986C2EDF0}">
            <xm:f>'TC1'!$B10="Dial"</xm:f>
            <x14:dxf>
              <font>
                <b/>
                <i val="0"/>
                <color rgb="FFFF0000"/>
              </font>
            </x14:dxf>
          </x14:cfRule>
          <x14:cfRule type="expression" priority="4299" id="{FD6CF4D5-B027-466E-93BB-684EDB167A84}">
            <xm:f>'TC1'!$B10="HANGUP"</xm:f>
            <x14:dxf>
              <font>
                <b/>
                <i val="0"/>
              </font>
            </x14:dxf>
          </x14:cfRule>
          <xm:sqref>C9:C12</xm:sqref>
        </x14:conditionalFormatting>
        <x14:conditionalFormatting xmlns:xm="http://schemas.microsoft.com/office/excel/2006/main">
          <x14:cfRule type="expression" priority="4" id="{2259A43A-B92A-40B6-BCF9-88AA78AF1BDE}">
            <xm:f>'\Users\deannah\Wyndham Testing\[Wyndham Destinations_TestCaseOverview_V3_Template.xlsx]TC1'!#REF!="HANGUP"</xm:f>
            <x14:dxf>
              <font>
                <b/>
                <i val="0"/>
              </font>
            </x14:dxf>
          </x14:cfRule>
          <x14:cfRule type="expression" priority="5" id="{82B96381-8DBB-4924-8ACA-7C3B6BAAE061}">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6" id="{CF2EFC9D-7817-4141-9E68-95C25E02B855}">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1" id="{93F04A7D-CC2D-4BE3-B03D-CD1377576B8B}">
            <xm:f>'\Users\deannah\Wyndham Testing\[Wyndham Destinations_TestCaseOverview_V3_Template.xlsx]TC1'!#REF!="HANGUP"</xm:f>
            <x14:dxf>
              <font>
                <b/>
                <i val="0"/>
              </font>
            </x14:dxf>
          </x14:cfRule>
          <x14:cfRule type="expression" priority="2" id="{279B6F65-DFD1-4E01-9FA7-DC2AD62B22D1}">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3" id="{641969B4-2977-4275-A205-DF17C04126B8}">
            <xm:f>'\Users\deannah\Wyndham Testing\[Wyndham Destinations_TestCaseOverview_V3_Template.xlsx]TC1'!#REF!="Speak"</xm:f>
            <x14:dxf>
              <font>
                <b/>
                <i val="0"/>
                <color rgb="FFFF0000"/>
              </font>
            </x14:dxf>
          </x14:cfRule>
          <xm:sqref>C18</xm:sqref>
        </x14:conditionalFormatting>
      </x14:conditionalFormattings>
    </ext>
  </extLst>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sheetPr codeName="Sheet119"/>
  <dimension ref="A1:E21"/>
  <sheetViews>
    <sheetView zoomScaleNormal="100" workbookViewId="0">
      <selection activeCell="C27" sqref="C27"/>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TC117</v>
      </c>
      <c r="C2" s="94"/>
      <c r="D2" s="107"/>
      <c r="E2" s="93"/>
    </row>
    <row r="3" spans="1:5">
      <c r="A3" s="100" t="s">
        <v>19</v>
      </c>
      <c r="B3" s="108">
        <f ca="1">VLOOKUP(B2,Table1[#All],2,FALSE)</f>
        <v>0</v>
      </c>
      <c r="C3" s="94"/>
      <c r="D3" s="107"/>
      <c r="E3" s="93"/>
    </row>
    <row r="4" spans="1:5" ht="30">
      <c r="A4" s="109" t="s">
        <v>20</v>
      </c>
      <c r="B4" s="95" t="str">
        <f ca="1">VLOOKUP(B2,Table1[#All],4,FALSE)</f>
        <v>ID AUTH retry  - check logs for  ID.authenticated=false</v>
      </c>
      <c r="C4" s="94"/>
      <c r="D4" s="107"/>
      <c r="E4" s="93"/>
    </row>
    <row r="5" spans="1:5" ht="30">
      <c r="A5" s="100" t="s">
        <v>6</v>
      </c>
      <c r="B5" s="75" t="str">
        <f ca="1">VLOOKUP(B2,Table1[#All],3,FALSE)</f>
        <v>COLL INBD/IDAUTH/ enter acct #/ incorrect DoB/incorrect DoB/call xfer</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24" t="s">
        <v>475</v>
      </c>
      <c r="D8" s="125"/>
      <c r="E8" s="122" t="s">
        <v>11</v>
      </c>
    </row>
    <row r="9" spans="1:5">
      <c r="A9" s="114">
        <v>2</v>
      </c>
      <c r="B9" s="110" t="s">
        <v>115</v>
      </c>
      <c r="C9" s="105" t="str">
        <f>VLOOKUP(Table257519913140106110140[[#This Row],[PEG]],Table1016[#All],2,FALSE)</f>
        <v>CallID.wav Call ID &lt;CallID&gt;</v>
      </c>
      <c r="D9" s="149" t="s">
        <v>477</v>
      </c>
      <c r="E9" s="122" t="str">
        <f>VLOOKUP(Table257519913140106110140[[#This Row],[PEG]],Table1016[#All],3,FALSE)</f>
        <v>TEST</v>
      </c>
    </row>
    <row r="10" spans="1:5" ht="30">
      <c r="A10" s="114">
        <v>3</v>
      </c>
      <c r="B10" s="110" t="s">
        <v>115</v>
      </c>
      <c r="C10" s="105" t="str">
        <f>VLOOKUP(Table257519913140106110140[[#This Row],[PEG]],Table1016[#All],2,FALSE)</f>
        <v>0100.wav Thank you for calling Shell vacations Club, we are glad you called. Please have your account number available for faster service. [To continue in Spanish, press 9]</v>
      </c>
      <c r="D10" s="149">
        <v>100</v>
      </c>
      <c r="E10" s="122" t="str">
        <f>VLOOKUP(Table257519913140106110140[[#This Row],[PEG]],Table1016[#All],3,FALSE)</f>
        <v>PLAY PROMPT</v>
      </c>
    </row>
    <row r="11" spans="1:5">
      <c r="A11" s="114">
        <v>4</v>
      </c>
      <c r="B11" s="110" t="s">
        <v>115</v>
      </c>
      <c r="C11" s="105" t="str">
        <f>VLOOKUP(Table257519913140106110140[[#This Row],[PEG]],Table1016[#All],2,FALSE)</f>
        <v>0200-1.wav To get started, what is your account number?</v>
      </c>
      <c r="D11" s="149">
        <v>200</v>
      </c>
      <c r="E11" s="122" t="str">
        <f>VLOOKUP(Table257519913140106110140[[#This Row],[PEG]],Table1016[#All],3,FALSE)</f>
        <v>MENU PROMPT</v>
      </c>
    </row>
    <row r="12" spans="1:5">
      <c r="A12" s="114">
        <v>5</v>
      </c>
      <c r="B12" s="110" t="s">
        <v>114</v>
      </c>
      <c r="C12" s="151" t="s">
        <v>515</v>
      </c>
      <c r="D12" s="149"/>
      <c r="E12" s="122" t="e">
        <f>VLOOKUP(Table257519913140106110140[[#This Row],[PEG]],Table1016[#All],3,FALSE)</f>
        <v>#N/A</v>
      </c>
    </row>
    <row r="13" spans="1:5">
      <c r="A13" s="114">
        <v>6</v>
      </c>
      <c r="B13" s="110" t="s">
        <v>115</v>
      </c>
      <c r="C13" s="105" t="str">
        <f>VLOOKUP(Table257519913140106110140[[#This Row],[PEG]],Table1016[#All],2,FALSE)</f>
        <v>0210-1.wav And the date of birth for the primary owner?</v>
      </c>
      <c r="D13" s="149">
        <v>210</v>
      </c>
      <c r="E13" s="122" t="str">
        <f>VLOOKUP(Table257519913140106110140[[#This Row],[PEG]],Table1016[#All],3,FALSE)</f>
        <v>MENU PROMPT</v>
      </c>
    </row>
    <row r="14" spans="1:5">
      <c r="A14" s="114">
        <v>7</v>
      </c>
      <c r="B14" s="110" t="s">
        <v>124</v>
      </c>
      <c r="C14" s="151" t="s">
        <v>610</v>
      </c>
      <c r="D14" s="125"/>
      <c r="E14" s="122" t="e">
        <f>VLOOKUP(Table257519913140106110140[[#This Row],[PEG]],Table1016[#All],3,FALSE)</f>
        <v>#N/A</v>
      </c>
    </row>
    <row r="15" spans="1:5">
      <c r="A15" s="114">
        <v>8</v>
      </c>
      <c r="B15" s="110" t="s">
        <v>115</v>
      </c>
      <c r="C15" s="105" t="str">
        <f>VLOOKUP(Table257519913140106110140[[#This Row],[PEG]],Table1016[#All],2,FALSE)</f>
        <v>Sorry.</v>
      </c>
      <c r="D15" s="112" t="s">
        <v>295</v>
      </c>
      <c r="E15" s="122" t="str">
        <f>VLOOKUP(Table257519913140106110140[[#This Row],[PEG]],Table1016[#All],3,FALSE)</f>
        <v>PLAY PROMPT</v>
      </c>
    </row>
    <row r="16" spans="1:5" ht="30">
      <c r="A16" s="114">
        <v>9</v>
      </c>
      <c r="B16" s="110" t="s">
        <v>12</v>
      </c>
      <c r="C16" s="105" t="str">
        <f>VLOOKUP(Table257519913140106110140[[#This Row],[PEG]],Table1016[#All],2,FALSE)</f>
        <v>0210DOBRetry.wav Please tell me the primary owner’s date of birth including month, day, and year or enter it using 2 digits for month, 2 digits for day, and 4 digits for year.</v>
      </c>
      <c r="D16" s="112" t="s">
        <v>378</v>
      </c>
      <c r="E16" s="122" t="str">
        <f>VLOOKUP(Table257519913140106110140[[#This Row],[PEG]],Table1016[#All],3,FALSE)</f>
        <v>MENU PROMPT</v>
      </c>
    </row>
    <row r="17" spans="1:5">
      <c r="A17" s="114">
        <v>10</v>
      </c>
      <c r="B17" s="110" t="s">
        <v>114</v>
      </c>
      <c r="C17" s="151" t="s">
        <v>618</v>
      </c>
      <c r="D17" s="113"/>
      <c r="E17" s="122" t="e">
        <f>VLOOKUP(Table257519913140106110140[[#This Row],[PEG]],Table1016[#All],3,FALSE)</f>
        <v>#N/A</v>
      </c>
    </row>
    <row r="18" spans="1:5">
      <c r="A18" s="114">
        <v>11</v>
      </c>
      <c r="B18" s="110" t="s">
        <v>115</v>
      </c>
      <c r="C18" s="105" t="str">
        <f>VLOOKUP(Table257519913140106110140[[#This Row],[PEG]],Table1016[#All],2,FALSE)</f>
        <v>Sorry, I'm having trouble</v>
      </c>
      <c r="D18" s="112" t="s">
        <v>297</v>
      </c>
      <c r="E18" s="122" t="str">
        <f>VLOOKUP(Table257519913140106110140[[#This Row],[PEG]],Table1016[#All],3,FALSE)</f>
        <v>PLAY PROMPT</v>
      </c>
    </row>
    <row r="19" spans="1:5">
      <c r="A19" s="114">
        <v>12</v>
      </c>
      <c r="B19" s="110" t="s">
        <v>115</v>
      </c>
      <c r="C19" s="105" t="str">
        <f>VLOOKUP(Table257519913140106110140[[#This Row],[PEG]],Table1016[#All],2,FALSE)</f>
        <v>0900.wav Please hold, while I connect you to a customer service representative.</v>
      </c>
      <c r="D19" s="113">
        <v>900</v>
      </c>
      <c r="E19" s="122" t="str">
        <f>VLOOKUP(Table257519913140106110140[[#This Row],[PEG]],Table1016[#All],3,FALSE)</f>
        <v>PLAY PROMPT</v>
      </c>
    </row>
    <row r="20" spans="1:5">
      <c r="A20" s="114">
        <v>13</v>
      </c>
      <c r="B20" s="110" t="s">
        <v>115</v>
      </c>
      <c r="C20" s="105" t="str">
        <f>VLOOKUP(Table257519913140106110140[[#This Row],[PEG]],Table1016[#All],2,FALSE)</f>
        <v>XferNbr.wav Transfer Number &lt;TransferNbr&gt;</v>
      </c>
      <c r="D20" s="113" t="s">
        <v>480</v>
      </c>
      <c r="E20" s="122" t="str">
        <f>VLOOKUP(Table257519913140106110140[[#This Row],[PEG]],Table1016[#All],3,FALSE)</f>
        <v>TEST</v>
      </c>
    </row>
    <row r="21" spans="1:5">
      <c r="A21" s="114">
        <v>14</v>
      </c>
      <c r="B21" s="110" t="s">
        <v>13</v>
      </c>
      <c r="C21" s="17" t="s">
        <v>13</v>
      </c>
      <c r="D21" s="111"/>
      <c r="E21" s="31"/>
    </row>
  </sheetData>
  <mergeCells count="1">
    <mergeCell ref="A1:B1"/>
  </mergeCells>
  <conditionalFormatting sqref="B8:B18 B21">
    <cfRule type="containsText" dxfId="2477" priority="15" operator="containsText" text="Hear">
      <formula>NOT(ISERROR(SEARCH("Hear",B8)))</formula>
    </cfRule>
  </conditionalFormatting>
  <conditionalFormatting sqref="E21">
    <cfRule type="containsText" dxfId="2476" priority="20" operator="containsText" text="WEB SERVICE">
      <formula>NOT(ISERROR(SEARCH("WEB SERVICE",E21)))</formula>
    </cfRule>
    <cfRule type="containsText" dxfId="2475" priority="21" operator="containsText" text="DB">
      <formula>NOT(ISERROR(SEARCH("DB",E21)))</formula>
    </cfRule>
  </conditionalFormatting>
  <conditionalFormatting sqref="C21">
    <cfRule type="expression" dxfId="2474" priority="23">
      <formula>$B21="Dial"</formula>
    </cfRule>
    <cfRule type="expression" dxfId="2473" priority="25">
      <formula>$B21="HANGUP"</formula>
    </cfRule>
  </conditionalFormatting>
  <conditionalFormatting sqref="C21">
    <cfRule type="expression" dxfId="2472" priority="24">
      <formula>$B21="Speak"</formula>
    </cfRule>
  </conditionalFormatting>
  <conditionalFormatting sqref="B19:B20">
    <cfRule type="containsText" dxfId="2471" priority="19" operator="containsText" text="Hear">
      <formula>NOT(ISERROR(SEARCH("Hear",B19)))</formula>
    </cfRule>
  </conditionalFormatting>
  <conditionalFormatting sqref="C8">
    <cfRule type="expression" dxfId="2470" priority="13">
      <formula>$B8="Dial"</formula>
    </cfRule>
    <cfRule type="expression" dxfId="2469" priority="14">
      <formula>$B8="HANGUP"</formula>
    </cfRule>
  </conditionalFormatting>
  <hyperlinks>
    <hyperlink ref="A1" location="'Test Case Overview'!A1" display="Return to Test Case Overview" xr:uid="{00000000-0004-0000-7500-000000000000}"/>
  </hyperlink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16" operator="containsText" text="WEB SERVICE" id="{F2B416C1-CC5C-4A64-A968-B63656CD6D65}">
            <xm:f>NOT(ISERROR(SEARCH("WEB SERVICE",'TC1'!E10)))</xm:f>
            <x14:dxf>
              <font>
                <color rgb="FF9C0006"/>
              </font>
              <fill>
                <patternFill>
                  <bgColor rgb="FFFFC7CE"/>
                </patternFill>
              </fill>
            </x14:dxf>
          </x14:cfRule>
          <x14:cfRule type="containsText" priority="27" operator="containsText" text="DB" id="{6A563591-5097-46E9-AB21-5EF3EC79FA50}">
            <xm:f>NOT(ISERROR(SEARCH("DB",'TC1'!E10)))</xm:f>
            <x14:dxf>
              <font>
                <color rgb="FF006100"/>
              </font>
              <fill>
                <patternFill>
                  <bgColor rgb="FFC6EFCE"/>
                </patternFill>
              </fill>
            </x14:dxf>
          </x14:cfRule>
          <xm:sqref>E9:E12</xm:sqref>
        </x14:conditionalFormatting>
        <x14:conditionalFormatting xmlns:xm="http://schemas.microsoft.com/office/excel/2006/main">
          <x14:cfRule type="expression" priority="2620" id="{A0BF26FC-4B86-4A95-AE9E-D5AF2C806349}">
            <xm:f>'TC1'!#REF!="Speak"</xm:f>
            <x14:dxf>
              <font>
                <b/>
                <i val="0"/>
                <color rgb="FFFF0000"/>
              </font>
            </x14:dxf>
          </x14:cfRule>
          <xm:sqref>C13 C15:C16 C18:C20</xm:sqref>
        </x14:conditionalFormatting>
        <x14:conditionalFormatting xmlns:xm="http://schemas.microsoft.com/office/excel/2006/main">
          <x14:cfRule type="containsText" priority="2626" operator="containsText" text="WEB SERVICE" id="{F2B416C1-CC5C-4A64-A968-B63656CD6D65}">
            <xm:f>NOT(ISERROR(SEARCH("WEB SERVICE",'TC1'!#REF!)))</xm:f>
            <x14:dxf>
              <font>
                <color rgb="FF9C0006"/>
              </font>
              <fill>
                <patternFill>
                  <bgColor rgb="FFFFC7CE"/>
                </patternFill>
              </fill>
            </x14:dxf>
          </x14:cfRule>
          <x14:cfRule type="containsText" priority="2627" operator="containsText" text="DB" id="{6A563591-5097-46E9-AB21-5EF3EC79FA50}">
            <xm:f>NOT(ISERROR(SEARCH("DB",'TC1'!#REF!)))</xm:f>
            <x14:dxf>
              <font>
                <color rgb="FF006100"/>
              </font>
              <fill>
                <patternFill>
                  <bgColor rgb="FFC6EFCE"/>
                </patternFill>
              </fill>
            </x14:dxf>
          </x14:cfRule>
          <xm:sqref>E13:E20</xm:sqref>
        </x14:conditionalFormatting>
        <x14:conditionalFormatting xmlns:xm="http://schemas.microsoft.com/office/excel/2006/main">
          <x14:cfRule type="expression" priority="2634" id="{33B20648-FA88-4B1B-A392-7B4F14AA2950}">
            <xm:f>'TC1'!#REF!="Dial"</xm:f>
            <x14:dxf>
              <font>
                <b/>
                <i val="0"/>
                <color rgb="FFFF0000"/>
              </font>
            </x14:dxf>
          </x14:cfRule>
          <x14:cfRule type="expression" priority="2635" id="{A4883667-E5AB-4B82-8BEB-4F4AF65E2246}">
            <xm:f>'TC1'!#REF!="HANGUP"</xm:f>
            <x14:dxf>
              <font>
                <b/>
                <i val="0"/>
              </font>
            </x14:dxf>
          </x14:cfRule>
          <xm:sqref>C13 C15:C16 C18:C20</xm:sqref>
        </x14:conditionalFormatting>
        <x14:conditionalFormatting xmlns:xm="http://schemas.microsoft.com/office/excel/2006/main">
          <x14:cfRule type="expression" priority="4307" id="{A0BF26FC-4B86-4A95-AE9E-D5AF2C806349}">
            <xm:f>'TC1'!$B10="Speak"</xm:f>
            <x14:dxf>
              <font>
                <b/>
                <i val="0"/>
                <color rgb="FFFF0000"/>
              </font>
            </x14:dxf>
          </x14:cfRule>
          <xm:sqref>C9:C11</xm:sqref>
        </x14:conditionalFormatting>
        <x14:conditionalFormatting xmlns:xm="http://schemas.microsoft.com/office/excel/2006/main">
          <x14:cfRule type="expression" priority="4312" id="{33B20648-FA88-4B1B-A392-7B4F14AA2950}">
            <xm:f>'TC1'!$B10="Dial"</xm:f>
            <x14:dxf>
              <font>
                <b/>
                <i val="0"/>
                <color rgb="FFFF0000"/>
              </font>
            </x14:dxf>
          </x14:cfRule>
          <x14:cfRule type="expression" priority="4313" id="{A4883667-E5AB-4B82-8BEB-4F4AF65E2246}">
            <xm:f>'TC1'!$B10="HANGUP"</xm:f>
            <x14:dxf>
              <font>
                <b/>
                <i val="0"/>
              </font>
            </x14:dxf>
          </x14:cfRule>
          <xm:sqref>C9:C11</xm:sqref>
        </x14:conditionalFormatting>
        <x14:conditionalFormatting xmlns:xm="http://schemas.microsoft.com/office/excel/2006/main">
          <x14:cfRule type="expression" priority="10" id="{18FC5C36-AEE6-4BF3-B0FE-1A0905C7AAF6}">
            <xm:f>'\Users\deannah\Wyndham Testing\[Wyndham Destinations_TestCaseOverview_V3_Template.xlsx]TC1'!#REF!="HANGUP"</xm:f>
            <x14:dxf>
              <font>
                <b/>
                <i val="0"/>
              </font>
            </x14:dxf>
          </x14:cfRule>
          <x14:cfRule type="expression" priority="11" id="{335C61E8-C626-4453-957A-A12E0FF94E93}">
            <xm:f>'\Users\deannah\Wyndham Testing\[Wyndham Destinations_TestCaseOverview_V3_Template.xlsx]TC1'!#REF!="Dial"</xm:f>
            <x14:dxf>
              <font>
                <b/>
                <i val="0"/>
                <color rgb="FFFF0000"/>
              </font>
            </x14:dxf>
          </x14:cfRule>
          <xm:sqref>C12</xm:sqref>
        </x14:conditionalFormatting>
        <x14:conditionalFormatting xmlns:xm="http://schemas.microsoft.com/office/excel/2006/main">
          <x14:cfRule type="expression" priority="12" id="{BDCF66FB-6C7D-4B7A-A50A-84952FC92ACD}">
            <xm:f>'\Users\deannah\Wyndham Testing\[Wyndham Destinations_TestCaseOverview_V3_Template.xlsx]TC1'!#REF!="Speak"</xm:f>
            <x14:dxf>
              <font>
                <b/>
                <i val="0"/>
                <color rgb="FFFF0000"/>
              </font>
            </x14:dxf>
          </x14:cfRule>
          <xm:sqref>C12</xm:sqref>
        </x14:conditionalFormatting>
        <x14:conditionalFormatting xmlns:xm="http://schemas.microsoft.com/office/excel/2006/main">
          <x14:cfRule type="expression" priority="1" id="{1C68215D-C519-4567-84AF-6F53641FBAD3}">
            <xm:f>'\Users\deannah\Wyndham Testing\[Wyndham Destinations_TestCaseOverview_V3_Template.xlsx]TC1'!#REF!="HANGUP"</xm:f>
            <x14:dxf>
              <font>
                <b/>
                <i val="0"/>
              </font>
            </x14:dxf>
          </x14:cfRule>
          <x14:cfRule type="expression" priority="2" id="{A5391EC6-9F5E-4803-AA5C-ADD0F922A69F}">
            <xm:f>'\Users\deannah\Wyndham Testing\[Wyndham Destinations_TestCaseOverview_V3_Template.xlsx]TC1'!#REF!="Dial"</xm:f>
            <x14:dxf>
              <font>
                <b/>
                <i val="0"/>
                <color rgb="FFFF0000"/>
              </font>
            </x14:dxf>
          </x14:cfRule>
          <xm:sqref>C17</xm:sqref>
        </x14:conditionalFormatting>
        <x14:conditionalFormatting xmlns:xm="http://schemas.microsoft.com/office/excel/2006/main">
          <x14:cfRule type="expression" priority="3" id="{84CA244A-CC30-4695-B2A2-B99BACF88A5C}">
            <xm:f>'\Users\deannah\Wyndham Testing\[Wyndham Destinations_TestCaseOverview_V3_Template.xlsx]TC1'!#REF!="Speak"</xm:f>
            <x14:dxf>
              <font>
                <b/>
                <i val="0"/>
                <color rgb="FFFF0000"/>
              </font>
            </x14:dxf>
          </x14:cfRule>
          <xm:sqref>C17</xm:sqref>
        </x14:conditionalFormatting>
        <x14:conditionalFormatting xmlns:xm="http://schemas.microsoft.com/office/excel/2006/main">
          <x14:cfRule type="expression" priority="4" id="{0664CA89-AC56-43AF-BD6B-C33ECE0BBF35}">
            <xm:f>'\Users\deannah\Wyndham Testing\[Wyndham Destinations_TestCaseOverview_V3_Template.xlsx]TC1'!#REF!="HANGUP"</xm:f>
            <x14:dxf>
              <font>
                <b/>
                <i val="0"/>
              </font>
            </x14:dxf>
          </x14:cfRule>
          <x14:cfRule type="expression" priority="5" id="{48399394-0E54-4ED4-8A2F-DF7123EA49DC}">
            <xm:f>'\Users\deannah\Wyndham Testing\[Wyndham Destinations_TestCaseOverview_V3_Template.xlsx]TC1'!#REF!="Dial"</xm:f>
            <x14:dxf>
              <font>
                <b/>
                <i val="0"/>
                <color rgb="FFFF0000"/>
              </font>
            </x14:dxf>
          </x14:cfRule>
          <xm:sqref>C14</xm:sqref>
        </x14:conditionalFormatting>
        <x14:conditionalFormatting xmlns:xm="http://schemas.microsoft.com/office/excel/2006/main">
          <x14:cfRule type="expression" priority="6" id="{A1B1A507-B182-4E7F-9B80-5A921C5B0226}">
            <xm:f>'\Users\deannah\Wyndham Testing\[Wyndham Destinations_TestCaseOverview_V3_Template.xlsx]TC1'!#REF!="Speak"</xm:f>
            <x14:dxf>
              <font>
                <b/>
                <i val="0"/>
                <color rgb="FFFF0000"/>
              </font>
            </x14:dxf>
          </x14:cfRule>
          <xm:sqref>C14</xm:sqref>
        </x14:conditionalFormatting>
      </x14:conditionalFormattings>
    </ext>
  </extLst>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sheetPr codeName="Sheet120"/>
  <dimension ref="A1:E19"/>
  <sheetViews>
    <sheetView zoomScaleNormal="100" workbookViewId="0">
      <selection sqref="A1:B1"/>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TC118</v>
      </c>
      <c r="C2" s="94"/>
      <c r="D2" s="107"/>
      <c r="E2" s="93"/>
    </row>
    <row r="3" spans="1:5">
      <c r="A3" s="100" t="s">
        <v>19</v>
      </c>
      <c r="B3" s="108">
        <f ca="1">VLOOKUP(B2,Table1[#All],2,FALSE)</f>
        <v>0</v>
      </c>
      <c r="C3" s="94"/>
      <c r="D3" s="107"/>
      <c r="E3" s="93"/>
    </row>
    <row r="4" spans="1:5" ht="45">
      <c r="A4" s="109" t="s">
        <v>20</v>
      </c>
      <c r="B4" s="95" t="str">
        <f ca="1">VLOOKUP(B2,Table1[#All],4,FALSE)</f>
        <v>ID AUTH retry  - check logs for  ID.authenticated=True 
not past due hear MM</v>
      </c>
      <c r="C4" s="94"/>
      <c r="D4" s="107"/>
      <c r="E4" s="93"/>
    </row>
    <row r="5" spans="1:5" ht="30">
      <c r="A5" s="100" t="s">
        <v>6</v>
      </c>
      <c r="B5" s="75" t="str">
        <f ca="1">VLOOKUP(B2,Table1[#All],3,FALSE)</f>
        <v>COLL INBD/IDAUTH/ enter acct #/ incorrect DoB/CORRECT DoB/hear MM/HU</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24" t="s">
        <v>475</v>
      </c>
      <c r="D8" s="125"/>
      <c r="E8" s="122" t="s">
        <v>11</v>
      </c>
    </row>
    <row r="9" spans="1:5">
      <c r="A9" s="114">
        <v>2</v>
      </c>
      <c r="B9" s="110" t="s">
        <v>115</v>
      </c>
      <c r="C9" s="105" t="str">
        <f>VLOOKUP(Table257519913140106110143[[#This Row],[PEG]],Table1016[#All],2,FALSE)</f>
        <v>CallID.wav Call ID &lt;CallID&gt;</v>
      </c>
      <c r="D9" s="149" t="s">
        <v>477</v>
      </c>
      <c r="E9" s="122" t="str">
        <f>VLOOKUP(Table257519913140106110143[[#This Row],[PEG]],Table1016[#All],3,FALSE)</f>
        <v>TEST</v>
      </c>
    </row>
    <row r="10" spans="1:5" ht="30">
      <c r="A10" s="114">
        <v>3</v>
      </c>
      <c r="B10" s="110" t="s">
        <v>115</v>
      </c>
      <c r="C10" s="105" t="str">
        <f>VLOOKUP(Table257519913140106110143[[#This Row],[PEG]],Table1016[#All],2,FALSE)</f>
        <v>0100.wav Thank you for calling Shell vacations Club, we are glad you called. Please have your account number available for faster service. [To continue in Spanish, press 9]</v>
      </c>
      <c r="D10" s="149">
        <v>100</v>
      </c>
      <c r="E10" s="122" t="str">
        <f>VLOOKUP(Table257519913140106110143[[#This Row],[PEG]],Table1016[#All],3,FALSE)</f>
        <v>PLAY PROMPT</v>
      </c>
    </row>
    <row r="11" spans="1:5">
      <c r="A11" s="114">
        <v>4</v>
      </c>
      <c r="B11" s="110" t="s">
        <v>115</v>
      </c>
      <c r="C11" s="105" t="str">
        <f>VLOOKUP(Table257519913140106110143[[#This Row],[PEG]],Table1016[#All],2,FALSE)</f>
        <v>0200-1.wav To get started, what is your account number?</v>
      </c>
      <c r="D11" s="149">
        <v>200</v>
      </c>
      <c r="E11" s="122" t="str">
        <f>VLOOKUP(Table257519913140106110143[[#This Row],[PEG]],Table1016[#All],3,FALSE)</f>
        <v>MENU PROMPT</v>
      </c>
    </row>
    <row r="12" spans="1:5">
      <c r="A12" s="114">
        <v>5</v>
      </c>
      <c r="B12" s="110" t="s">
        <v>114</v>
      </c>
      <c r="C12" s="151" t="s">
        <v>515</v>
      </c>
      <c r="D12" s="149"/>
      <c r="E12" s="122" t="e">
        <f>VLOOKUP(Table257519913140106110143[[#This Row],[PEG]],Table1016[#All],3,FALSE)</f>
        <v>#N/A</v>
      </c>
    </row>
    <row r="13" spans="1:5">
      <c r="A13" s="114">
        <v>6</v>
      </c>
      <c r="B13" s="110" t="s">
        <v>115</v>
      </c>
      <c r="C13" s="105" t="str">
        <f>VLOOKUP(Table257519913140106110143[[#This Row],[PEG]],Table1016[#All],2,FALSE)</f>
        <v>0210-1.wav And the date of birth for the primary owner?</v>
      </c>
      <c r="D13" s="149">
        <v>210</v>
      </c>
      <c r="E13" s="122" t="str">
        <f>VLOOKUP(Table257519913140106110143[[#This Row],[PEG]],Table1016[#All],3,FALSE)</f>
        <v>MENU PROMPT</v>
      </c>
    </row>
    <row r="14" spans="1:5">
      <c r="A14" s="114">
        <v>7</v>
      </c>
      <c r="B14" s="110" t="s">
        <v>124</v>
      </c>
      <c r="C14" s="151" t="s">
        <v>610</v>
      </c>
      <c r="D14" s="125"/>
      <c r="E14" s="122" t="e">
        <f>VLOOKUP(Table257519913140106110143[[#This Row],[PEG]],Table1016[#All],3,FALSE)</f>
        <v>#N/A</v>
      </c>
    </row>
    <row r="15" spans="1:5">
      <c r="A15" s="114">
        <v>8</v>
      </c>
      <c r="B15" s="110" t="s">
        <v>115</v>
      </c>
      <c r="C15" s="105" t="str">
        <f>VLOOKUP(Table257519913140106110143[[#This Row],[PEG]],Table1016[#All],2,FALSE)</f>
        <v>Sorry.</v>
      </c>
      <c r="D15" s="112" t="s">
        <v>295</v>
      </c>
      <c r="E15" s="122" t="str">
        <f>VLOOKUP(Table257519913140106110143[[#This Row],[PEG]],Table1016[#All],3,FALSE)</f>
        <v>PLAY PROMPT</v>
      </c>
    </row>
    <row r="16" spans="1:5" ht="30">
      <c r="A16" s="114">
        <v>9</v>
      </c>
      <c r="B16" s="110" t="s">
        <v>12</v>
      </c>
      <c r="C16" s="105" t="str">
        <f>VLOOKUP(Table257519913140106110143[[#This Row],[PEG]],Table1016[#All],2,FALSE)</f>
        <v>0210DOBRetry.wav Please tell me the primary owner’s date of birth including month, day, and year or enter it using 2 digits for month, 2 digits for day, and 4 digits for year.</v>
      </c>
      <c r="D16" s="112" t="s">
        <v>378</v>
      </c>
      <c r="E16" s="122" t="str">
        <f>VLOOKUP(Table257519913140106110143[[#This Row],[PEG]],Table1016[#All],3,FALSE)</f>
        <v>MENU PROMPT</v>
      </c>
    </row>
    <row r="17" spans="1:5">
      <c r="A17" s="114">
        <v>10</v>
      </c>
      <c r="B17" s="110" t="s">
        <v>114</v>
      </c>
      <c r="C17" s="105" t="s">
        <v>619</v>
      </c>
      <c r="D17" s="113"/>
      <c r="E17" s="122" t="e">
        <f>VLOOKUP(Table257519913140106110143[[#This Row],[PEG]],Table1016[#All],3,FALSE)</f>
        <v>#N/A</v>
      </c>
    </row>
    <row r="18" spans="1:5" ht="30">
      <c r="A18" s="114">
        <v>11</v>
      </c>
      <c r="B18" s="110" t="s">
        <v>115</v>
      </c>
      <c r="C18" s="105" t="str">
        <f>VLOOKUP(Table257519913140106110143[[#This Row],[PEG]],Table1016[#All],2,FALSE)</f>
        <v>0110-1.wav Which would you like? You can say... reservations, payments &amp; statements, title &amp; ownership changes, or more options.</v>
      </c>
      <c r="D18" s="113">
        <v>110</v>
      </c>
      <c r="E18" s="122" t="str">
        <f>VLOOKUP(Table257519913140106110143[[#This Row],[PEG]],Table1016[#All],3,FALSE)</f>
        <v>MENU PROMPT</v>
      </c>
    </row>
    <row r="19" spans="1:5">
      <c r="A19" s="114">
        <v>12</v>
      </c>
      <c r="B19" s="110" t="s">
        <v>13</v>
      </c>
      <c r="C19" s="17" t="s">
        <v>13</v>
      </c>
      <c r="D19" s="111"/>
      <c r="E19" s="31"/>
    </row>
  </sheetData>
  <mergeCells count="1">
    <mergeCell ref="A1:B1"/>
  </mergeCells>
  <conditionalFormatting sqref="B8 B18:B19">
    <cfRule type="containsText" dxfId="2440" priority="16" operator="containsText" text="Hear">
      <formula>NOT(ISERROR(SEARCH("Hear",B8)))</formula>
    </cfRule>
  </conditionalFormatting>
  <conditionalFormatting sqref="E19">
    <cfRule type="containsText" dxfId="2439" priority="21" operator="containsText" text="WEB SERVICE">
      <formula>NOT(ISERROR(SEARCH("WEB SERVICE",E19)))</formula>
    </cfRule>
    <cfRule type="containsText" dxfId="2438" priority="22" operator="containsText" text="DB">
      <formula>NOT(ISERROR(SEARCH("DB",E19)))</formula>
    </cfRule>
  </conditionalFormatting>
  <conditionalFormatting sqref="C19">
    <cfRule type="expression" dxfId="2437" priority="24">
      <formula>$B19="Dial"</formula>
    </cfRule>
    <cfRule type="expression" dxfId="2436" priority="26">
      <formula>$B19="HANGUP"</formula>
    </cfRule>
  </conditionalFormatting>
  <conditionalFormatting sqref="C19">
    <cfRule type="expression" dxfId="2435" priority="25">
      <formula>$B19="Speak"</formula>
    </cfRule>
  </conditionalFormatting>
  <conditionalFormatting sqref="C8">
    <cfRule type="expression" dxfId="2434" priority="14">
      <formula>$B8="Dial"</formula>
    </cfRule>
    <cfRule type="expression" dxfId="2433" priority="15">
      <formula>$B8="HANGUP"</formula>
    </cfRule>
  </conditionalFormatting>
  <conditionalFormatting sqref="B9:B17">
    <cfRule type="containsText" dxfId="2432" priority="13" operator="containsText" text="Hear">
      <formula>NOT(ISERROR(SEARCH("Hear",B9)))</formula>
    </cfRule>
  </conditionalFormatting>
  <hyperlinks>
    <hyperlink ref="A1" location="'Test Case Overview'!A1" display="Return to Test Case Overview" xr:uid="{00000000-0004-0000-76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17" operator="containsText" text="WEB SERVICE" id="{99405FBB-B8CB-4BA4-9C94-5C1165C1A22D}">
            <xm:f>NOT(ISERROR(SEARCH("WEB SERVICE",'TC1'!E10)))</xm:f>
            <x14:dxf>
              <font>
                <color rgb="FF9C0006"/>
              </font>
              <fill>
                <patternFill>
                  <bgColor rgb="FFFFC7CE"/>
                </patternFill>
              </fill>
            </x14:dxf>
          </x14:cfRule>
          <x14:cfRule type="containsText" priority="28" operator="containsText" text="DB" id="{F3B33DC3-F19F-4EF2-8597-9CF8C4FE4FEA}">
            <xm:f>NOT(ISERROR(SEARCH("DB",'TC1'!E10)))</xm:f>
            <x14:dxf>
              <font>
                <color rgb="FF006100"/>
              </font>
              <fill>
                <patternFill>
                  <bgColor rgb="FFC6EFCE"/>
                </patternFill>
              </fill>
            </x14:dxf>
          </x14:cfRule>
          <xm:sqref>E9:E12</xm:sqref>
        </x14:conditionalFormatting>
        <x14:conditionalFormatting xmlns:xm="http://schemas.microsoft.com/office/excel/2006/main">
          <x14:cfRule type="expression" priority="2641" id="{F90626D3-2467-43EA-B7A0-F9F29F3877E5}">
            <xm:f>'TC1'!#REF!="Speak"</xm:f>
            <x14:dxf>
              <font>
                <b/>
                <i val="0"/>
                <color rgb="FFFF0000"/>
              </font>
            </x14:dxf>
          </x14:cfRule>
          <xm:sqref>C13 C16:C18</xm:sqref>
        </x14:conditionalFormatting>
        <x14:conditionalFormatting xmlns:xm="http://schemas.microsoft.com/office/excel/2006/main">
          <x14:cfRule type="containsText" priority="2647" operator="containsText" text="WEB SERVICE" id="{99405FBB-B8CB-4BA4-9C94-5C1165C1A22D}">
            <xm:f>NOT(ISERROR(SEARCH("WEB SERVICE",'TC1'!#REF!)))</xm:f>
            <x14:dxf>
              <font>
                <color rgb="FF9C0006"/>
              </font>
              <fill>
                <patternFill>
                  <bgColor rgb="FFFFC7CE"/>
                </patternFill>
              </fill>
            </x14:dxf>
          </x14:cfRule>
          <x14:cfRule type="containsText" priority="2648" operator="containsText" text="DB" id="{F3B33DC3-F19F-4EF2-8597-9CF8C4FE4FEA}">
            <xm:f>NOT(ISERROR(SEARCH("DB",'TC1'!#REF!)))</xm:f>
            <x14:dxf>
              <font>
                <color rgb="FF006100"/>
              </font>
              <fill>
                <patternFill>
                  <bgColor rgb="FFC6EFCE"/>
                </patternFill>
              </fill>
            </x14:dxf>
          </x14:cfRule>
          <xm:sqref>E13:E18</xm:sqref>
        </x14:conditionalFormatting>
        <x14:conditionalFormatting xmlns:xm="http://schemas.microsoft.com/office/excel/2006/main">
          <x14:cfRule type="expression" priority="2655" id="{CBEFCCE6-A9ED-4CF0-B8FC-EF79081E2A4A}">
            <xm:f>'TC1'!#REF!="Dial"</xm:f>
            <x14:dxf>
              <font>
                <b/>
                <i val="0"/>
                <color rgb="FFFF0000"/>
              </font>
            </x14:dxf>
          </x14:cfRule>
          <x14:cfRule type="expression" priority="2656" id="{457AF992-78B1-4207-8D68-697B4B2DD4A8}">
            <xm:f>'TC1'!#REF!="HANGUP"</xm:f>
            <x14:dxf>
              <font>
                <b/>
                <i val="0"/>
              </font>
            </x14:dxf>
          </x14:cfRule>
          <xm:sqref>C13 C16:C18</xm:sqref>
        </x14:conditionalFormatting>
        <x14:conditionalFormatting xmlns:xm="http://schemas.microsoft.com/office/excel/2006/main">
          <x14:cfRule type="expression" priority="4316" id="{F90626D3-2467-43EA-B7A0-F9F29F3877E5}">
            <xm:f>'TC1'!$B10="Speak"</xm:f>
            <x14:dxf>
              <font>
                <b/>
                <i val="0"/>
                <color rgb="FFFF0000"/>
              </font>
            </x14:dxf>
          </x14:cfRule>
          <xm:sqref>C9:C11</xm:sqref>
        </x14:conditionalFormatting>
        <x14:conditionalFormatting xmlns:xm="http://schemas.microsoft.com/office/excel/2006/main">
          <x14:cfRule type="expression" priority="4321" id="{CBEFCCE6-A9ED-4CF0-B8FC-EF79081E2A4A}">
            <xm:f>'TC1'!$B10="Dial"</xm:f>
            <x14:dxf>
              <font>
                <b/>
                <i val="0"/>
                <color rgb="FFFF0000"/>
              </font>
            </x14:dxf>
          </x14:cfRule>
          <x14:cfRule type="expression" priority="4322" id="{457AF992-78B1-4207-8D68-697B4B2DD4A8}">
            <xm:f>'TC1'!$B10="HANGUP"</xm:f>
            <x14:dxf>
              <font>
                <b/>
                <i val="0"/>
              </font>
            </x14:dxf>
          </x14:cfRule>
          <xm:sqref>C9:C11</xm:sqref>
        </x14:conditionalFormatting>
        <x14:conditionalFormatting xmlns:xm="http://schemas.microsoft.com/office/excel/2006/main">
          <x14:cfRule type="expression" priority="10" id="{8BBFD688-55AD-48B8-9B93-B6819BAF21BF}">
            <xm:f>'\Users\deannah\Wyndham Testing\[Wyndham Destinations_TestCaseOverview_V3_Template.xlsx]TC1'!#REF!="HANGUP"</xm:f>
            <x14:dxf>
              <font>
                <b/>
                <i val="0"/>
              </font>
            </x14:dxf>
          </x14:cfRule>
          <x14:cfRule type="expression" priority="11" id="{89211EA9-9B44-4507-BCDA-D8A3985F9178}">
            <xm:f>'\Users\deannah\Wyndham Testing\[Wyndham Destinations_TestCaseOverview_V3_Template.xlsx]TC1'!#REF!="Dial"</xm:f>
            <x14:dxf>
              <font>
                <b/>
                <i val="0"/>
                <color rgb="FFFF0000"/>
              </font>
            </x14:dxf>
          </x14:cfRule>
          <xm:sqref>C12</xm:sqref>
        </x14:conditionalFormatting>
        <x14:conditionalFormatting xmlns:xm="http://schemas.microsoft.com/office/excel/2006/main">
          <x14:cfRule type="expression" priority="12" id="{EEEA6E1A-BE28-4D64-841F-43B577952AB8}">
            <xm:f>'\Users\deannah\Wyndham Testing\[Wyndham Destinations_TestCaseOverview_V3_Template.xlsx]TC1'!#REF!="Speak"</xm:f>
            <x14:dxf>
              <font>
                <b/>
                <i val="0"/>
                <color rgb="FFFF0000"/>
              </font>
            </x14:dxf>
          </x14:cfRule>
          <xm:sqref>C12</xm:sqref>
        </x14:conditionalFormatting>
        <x14:conditionalFormatting xmlns:xm="http://schemas.microsoft.com/office/excel/2006/main">
          <x14:cfRule type="expression" priority="4" id="{5D521861-D33C-4A22-BB15-F4E960A93976}">
            <xm:f>'\Users\deannah\Wyndham Testing\[Wyndham Destinations_TestCaseOverview_V3_Template.xlsx]TC1'!#REF!="HANGUP"</xm:f>
            <x14:dxf>
              <font>
                <b/>
                <i val="0"/>
              </font>
            </x14:dxf>
          </x14:cfRule>
          <x14:cfRule type="expression" priority="5" id="{E4FAE119-E533-4206-81CC-EC2FB6EEA8AC}">
            <xm:f>'\Users\deannah\Wyndham Testing\[Wyndham Destinations_TestCaseOverview_V3_Template.xlsx]TC1'!#REF!="Dial"</xm:f>
            <x14:dxf>
              <font>
                <b/>
                <i val="0"/>
                <color rgb="FFFF0000"/>
              </font>
            </x14:dxf>
          </x14:cfRule>
          <xm:sqref>C14</xm:sqref>
        </x14:conditionalFormatting>
        <x14:conditionalFormatting xmlns:xm="http://schemas.microsoft.com/office/excel/2006/main">
          <x14:cfRule type="expression" priority="6" id="{F25FC04E-A6B1-4CD5-BC5C-49214A59F198}">
            <xm:f>'\Users\deannah\Wyndham Testing\[Wyndham Destinations_TestCaseOverview_V3_Template.xlsx]TC1'!#REF!="Speak"</xm:f>
            <x14:dxf>
              <font>
                <b/>
                <i val="0"/>
                <color rgb="FFFF0000"/>
              </font>
            </x14:dxf>
          </x14:cfRule>
          <xm:sqref>C14</xm:sqref>
        </x14:conditionalFormatting>
        <x14:conditionalFormatting xmlns:xm="http://schemas.microsoft.com/office/excel/2006/main">
          <x14:cfRule type="expression" priority="1" id="{7C52D27C-5137-4808-9F7F-6B42B07410C2}">
            <xm:f>'TC1'!#REF!="Speak"</xm:f>
            <x14:dxf>
              <font>
                <b/>
                <i val="0"/>
                <color rgb="FFFF0000"/>
              </font>
            </x14:dxf>
          </x14:cfRule>
          <xm:sqref>C15</xm:sqref>
        </x14:conditionalFormatting>
        <x14:conditionalFormatting xmlns:xm="http://schemas.microsoft.com/office/excel/2006/main">
          <x14:cfRule type="expression" priority="2" id="{D422EB29-147A-491D-89BA-A08B6B33B618}">
            <xm:f>'TC1'!#REF!="Dial"</xm:f>
            <x14:dxf>
              <font>
                <b/>
                <i val="0"/>
                <color rgb="FFFF0000"/>
              </font>
            </x14:dxf>
          </x14:cfRule>
          <x14:cfRule type="expression" priority="3" id="{5580F365-2F3F-436D-BD8F-8DF37095EA51}">
            <xm:f>'TC1'!#REF!="HANGUP"</xm:f>
            <x14:dxf>
              <font>
                <b/>
                <i val="0"/>
              </font>
            </x14:dxf>
          </x14:cfRule>
          <xm:sqref>C15</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E39"/>
  <sheetViews>
    <sheetView zoomScaleNormal="100" workbookViewId="0">
      <selection activeCell="C23" sqref="C23"/>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TC11</v>
      </c>
    </row>
    <row r="3" spans="1:5">
      <c r="A3" s="100" t="s">
        <v>19</v>
      </c>
      <c r="B3" s="108">
        <f ca="1">VLOOKUP(B2,Table1[#All],2,FALSE)</f>
        <v>0</v>
      </c>
    </row>
    <row r="4" spans="1:5" ht="30">
      <c r="A4" s="109" t="s">
        <v>20</v>
      </c>
      <c r="B4" s="95" t="str">
        <f ca="1">VLOOKUP(B2,Table1[#All],4,FALSE)</f>
        <v>svcArea=titleSvcs, serviceType=makePayment</v>
      </c>
    </row>
    <row r="5" spans="1:5" ht="30">
      <c r="A5" s="100" t="s">
        <v>6</v>
      </c>
      <c r="B5" s="89" t="str">
        <f ca="1">VLOOKUP(B2,Table1[#All],3,FALSE)</f>
        <v xml:space="preserve">CallStart MM/title/Mk pmt/IDAuth not ture/ IDAuth=True/xfer </v>
      </c>
    </row>
    <row r="7" spans="1:5" ht="15.75">
      <c r="A7" s="96" t="s">
        <v>7</v>
      </c>
      <c r="B7" s="97" t="s">
        <v>8</v>
      </c>
      <c r="C7" s="98" t="s">
        <v>9</v>
      </c>
      <c r="D7" s="98" t="s">
        <v>14</v>
      </c>
      <c r="E7" s="99" t="s">
        <v>10</v>
      </c>
    </row>
    <row r="8" spans="1:5">
      <c r="A8" s="114">
        <v>1</v>
      </c>
      <c r="B8" s="110" t="s">
        <v>114</v>
      </c>
      <c r="C8" s="124" t="s">
        <v>484</v>
      </c>
      <c r="D8" s="125"/>
      <c r="E8" s="122" t="s">
        <v>11</v>
      </c>
    </row>
    <row r="9" spans="1:5">
      <c r="A9" s="114">
        <v>2</v>
      </c>
      <c r="B9" s="110" t="s">
        <v>115</v>
      </c>
      <c r="C9" s="105" t="str">
        <f>VLOOKUP(Table2575525269102425[[#This Row],[PEG]],Table1016[#All],2,FALSE)</f>
        <v>CallID.wav Call ID &lt;CallID&gt;</v>
      </c>
      <c r="D9" s="149" t="s">
        <v>477</v>
      </c>
      <c r="E9" s="122" t="str">
        <f>VLOOKUP(Table2575525269102425[[#This Row],[PEG]],Table1016[#All],3,FALSE)</f>
        <v>TEST</v>
      </c>
    </row>
    <row r="10" spans="1:5" ht="30">
      <c r="A10" s="114">
        <v>3</v>
      </c>
      <c r="B10" s="110" t="s">
        <v>115</v>
      </c>
      <c r="C10" s="105" t="str">
        <f>VLOOKUP(Table2575525269102425[[#This Row],[PEG]],Table1016[#All],2,FALSE)</f>
        <v>0100.wav Thank you for calling Shell vacations Club, we are glad you called. Please have your account number available for faster service. [To continue in Spanish, press 9]</v>
      </c>
      <c r="D10" s="145">
        <v>100</v>
      </c>
      <c r="E10" s="122" t="str">
        <f>VLOOKUP(Table2575525269102425[[#This Row],[PEG]],Table1016[#All],3,FALSE)</f>
        <v>PLAY PROMPT</v>
      </c>
    </row>
    <row r="11" spans="1:5" ht="30">
      <c r="A11" s="114">
        <v>4</v>
      </c>
      <c r="B11" s="110" t="s">
        <v>115</v>
      </c>
      <c r="C11" s="105" t="str">
        <f>VLOOKUP(Table2575525269102425[[#This Row],[PEG]],Table1016[#All],2,FALSE)</f>
        <v>0110-1.wav Which would you like? You can say... reservations, payments &amp; statements, title &amp; ownership changes, or more options.</v>
      </c>
      <c r="D11" s="145">
        <v>110</v>
      </c>
      <c r="E11" s="122" t="str">
        <f>VLOOKUP(Table2575525269102425[[#This Row],[PEG]],Table1016[#All],3,FALSE)</f>
        <v>MENU PROMPT</v>
      </c>
    </row>
    <row r="12" spans="1:5">
      <c r="A12" s="114">
        <v>5</v>
      </c>
      <c r="B12" s="110" t="s">
        <v>124</v>
      </c>
      <c r="C12" s="105" t="s">
        <v>489</v>
      </c>
      <c r="D12" s="145"/>
      <c r="E12" s="122" t="e">
        <f>VLOOKUP(Table2575525269102425[[#This Row],[PEG]],Table1016[#All],3,FALSE)</f>
        <v>#N/A</v>
      </c>
    </row>
    <row r="13" spans="1:5" ht="30">
      <c r="A13" s="114">
        <v>6</v>
      </c>
      <c r="B13" s="110" t="s">
        <v>115</v>
      </c>
      <c r="C13" s="105" t="str">
        <f>VLOOKUP(Table2575525269102425[[#This Row],[PEG]],Table1016[#All],2,FALSE)</f>
        <v>0300-1.wav You can say ownership changes, check status, make a payment, or help me with something else. Which would you like?</v>
      </c>
      <c r="D13" s="145">
        <v>300</v>
      </c>
      <c r="E13" s="122" t="str">
        <f>VLOOKUP(Table2575525269102425[[#This Row],[PEG]],Table1016[#All],3,FALSE)</f>
        <v>MENU PROMPT</v>
      </c>
    </row>
    <row r="14" spans="1:5">
      <c r="A14" s="114">
        <v>7</v>
      </c>
      <c r="B14" s="110" t="s">
        <v>124</v>
      </c>
      <c r="C14" s="105" t="s">
        <v>631</v>
      </c>
      <c r="D14" s="125"/>
      <c r="E14" s="122" t="e">
        <f>VLOOKUP(Table2575525269102425[[#This Row],[PEG]],Table1016[#All],3,FALSE)</f>
        <v>#N/A</v>
      </c>
    </row>
    <row r="15" spans="1:5">
      <c r="A15" s="114">
        <v>8</v>
      </c>
      <c r="B15" s="110" t="s">
        <v>115</v>
      </c>
      <c r="C15" s="105" t="str">
        <f>VLOOKUP(Table2575525269102425[[#This Row],[PEG]],Table1016[#All],2,FALSE)</f>
        <v>0200-1.wav To get started, what is your account number?</v>
      </c>
      <c r="D15" s="112">
        <v>200</v>
      </c>
      <c r="E15" s="122" t="str">
        <f>VLOOKUP(Table2575525269102425[[#This Row],[PEG]],Table1016[#All],3,FALSE)</f>
        <v>MENU PROMPT</v>
      </c>
    </row>
    <row r="16" spans="1:5">
      <c r="A16" s="114">
        <v>9</v>
      </c>
      <c r="B16" s="110" t="s">
        <v>124</v>
      </c>
      <c r="C16" s="105" t="s">
        <v>483</v>
      </c>
      <c r="D16" s="112"/>
      <c r="E16" s="122" t="e">
        <f>VLOOKUP(Table2575525269102425[[#This Row],[PEG]],Table1016[#All],3,FALSE)</f>
        <v>#N/A</v>
      </c>
    </row>
    <row r="17" spans="1:5">
      <c r="A17" s="114">
        <v>10</v>
      </c>
      <c r="B17" s="110" t="s">
        <v>115</v>
      </c>
      <c r="C17" s="127" t="str">
        <f>VLOOKUP(Table2575525269102425[[#This Row],[PEG]],Table1016[#All],2,FALSE)</f>
        <v>0210-1.wav And the date of birth for the primary owner?</v>
      </c>
      <c r="D17" s="113">
        <v>210</v>
      </c>
      <c r="E17" s="122" t="str">
        <f>VLOOKUP(Table2575525269102425[[#This Row],[PEG]],Table1016[#All],3,FALSE)</f>
        <v>MENU PROMPT</v>
      </c>
    </row>
    <row r="18" spans="1:5">
      <c r="A18" s="114">
        <v>11</v>
      </c>
      <c r="B18" s="110" t="s">
        <v>124</v>
      </c>
      <c r="C18" s="105" t="s">
        <v>510</v>
      </c>
      <c r="D18" s="113"/>
      <c r="E18" s="122" t="e">
        <f>VLOOKUP(Table2575525269102425[[#This Row],[PEG]],Table1016[#All],3,FALSE)</f>
        <v>#N/A</v>
      </c>
    </row>
    <row r="19" spans="1:5">
      <c r="A19" s="114">
        <v>12</v>
      </c>
      <c r="B19" s="110" t="s">
        <v>115</v>
      </c>
      <c r="C19" s="150" t="str">
        <f>VLOOKUP(Table2575525269102425[[#This Row],[PEG]],Table1016[#All],2,FALSE)</f>
        <v>0900.wav Please hold, while I connect you to a customer service representative.</v>
      </c>
      <c r="D19" s="113">
        <v>900</v>
      </c>
      <c r="E19" s="122" t="str">
        <f>VLOOKUP(Table2575525269102425[[#This Row],[PEG]],Table1016[#All],3,FALSE)</f>
        <v>PLAY PROMPT</v>
      </c>
    </row>
    <row r="20" spans="1:5">
      <c r="A20" s="114">
        <v>13</v>
      </c>
      <c r="B20" s="110" t="s">
        <v>115</v>
      </c>
      <c r="C20" s="105" t="str">
        <f>VLOOKUP(Table2575525269102425[[#This Row],[PEG]],Table1016[#All],2,FALSE)</f>
        <v>XferNbr.wav Transfer Number &lt;TransferNbr&gt;</v>
      </c>
      <c r="D20" s="113" t="s">
        <v>480</v>
      </c>
      <c r="E20" s="122" t="str">
        <f>VLOOKUP(Table2575525269102425[[#This Row],[PEG]],Table1016[#All],3,FALSE)</f>
        <v>TEST</v>
      </c>
    </row>
    <row r="21" spans="1:5">
      <c r="A21" s="114">
        <v>14</v>
      </c>
      <c r="B21" s="110" t="s">
        <v>13</v>
      </c>
      <c r="C21" s="105" t="s">
        <v>13</v>
      </c>
      <c r="D21" s="111"/>
      <c r="E21" s="31"/>
    </row>
    <row r="22" spans="1:5">
      <c r="C22" s="25"/>
      <c r="D22" s="107" t="s">
        <v>0</v>
      </c>
    </row>
    <row r="23" spans="1:5">
      <c r="C23" s="25"/>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6"/>
    </row>
    <row r="38" spans="3:3">
      <c r="C38" s="26"/>
    </row>
    <row r="39" spans="3:3">
      <c r="C39" s="26"/>
    </row>
  </sheetData>
  <mergeCells count="1">
    <mergeCell ref="A1:B1"/>
  </mergeCells>
  <conditionalFormatting sqref="E21">
    <cfRule type="containsText" dxfId="6412" priority="37" operator="containsText" text="WEB SERVICE">
      <formula>NOT(ISERROR(SEARCH("WEB SERVICE",E21)))</formula>
    </cfRule>
    <cfRule type="containsText" dxfId="6411" priority="38" operator="containsText" text="DB">
      <formula>NOT(ISERROR(SEARCH("DB",E21)))</formula>
    </cfRule>
  </conditionalFormatting>
  <conditionalFormatting sqref="C20:C9978">
    <cfRule type="expression" dxfId="6410" priority="40">
      <formula>$B20="Dial"</formula>
    </cfRule>
    <cfRule type="expression" dxfId="6409" priority="42">
      <formula>$B20="HANGUP"</formula>
    </cfRule>
  </conditionalFormatting>
  <conditionalFormatting sqref="C19">
    <cfRule type="expression" dxfId="6408" priority="9">
      <formula>$B19="Dial"</formula>
    </cfRule>
    <cfRule type="expression" dxfId="6407" priority="10">
      <formula>$B19="HANGUP"</formula>
    </cfRule>
  </conditionalFormatting>
  <conditionalFormatting sqref="B8:B21">
    <cfRule type="containsText" dxfId="6406" priority="13" operator="containsText" text="Hear">
      <formula>NOT(ISERROR(SEARCH("Hear",B8)))</formula>
    </cfRule>
  </conditionalFormatting>
  <conditionalFormatting sqref="C9:C15">
    <cfRule type="expression" dxfId="6405" priority="14">
      <formula>$B9="Dial"</formula>
    </cfRule>
    <cfRule type="expression" dxfId="6404" priority="16">
      <formula>$B9="HANGUP"</formula>
    </cfRule>
  </conditionalFormatting>
  <conditionalFormatting sqref="C9:C15 C20:C21">
    <cfRule type="expression" dxfId="6403" priority="15">
      <formula>$B9="Speak"</formula>
    </cfRule>
  </conditionalFormatting>
  <conditionalFormatting sqref="C17">
    <cfRule type="expression" dxfId="6402" priority="11">
      <formula>$B17="Dial"</formula>
    </cfRule>
    <cfRule type="expression" dxfId="6401" priority="12">
      <formula>$B17="HANGUP"</formula>
    </cfRule>
  </conditionalFormatting>
  <conditionalFormatting sqref="C8">
    <cfRule type="expression" dxfId="6400" priority="7">
      <formula>$B8="Dial"</formula>
    </cfRule>
    <cfRule type="expression" dxfId="6399" priority="8">
      <formula>$B8="HANGUP"</formula>
    </cfRule>
  </conditionalFormatting>
  <conditionalFormatting sqref="C16">
    <cfRule type="expression" dxfId="6398" priority="4">
      <formula>$B16="Dial"</formula>
    </cfRule>
    <cfRule type="expression" dxfId="6397" priority="6">
      <formula>$B16="HANGUP"</formula>
    </cfRule>
  </conditionalFormatting>
  <conditionalFormatting sqref="C16">
    <cfRule type="expression" dxfId="6396" priority="5">
      <formula>$B16="Speak"</formula>
    </cfRule>
  </conditionalFormatting>
  <conditionalFormatting sqref="C18">
    <cfRule type="expression" dxfId="6395" priority="1">
      <formula>$B18="Dial"</formula>
    </cfRule>
    <cfRule type="expression" dxfId="6394" priority="3">
      <formula>$B18="HANGUP"</formula>
    </cfRule>
  </conditionalFormatting>
  <conditionalFormatting sqref="C18">
    <cfRule type="expression" dxfId="6393" priority="2">
      <formula>$B18="Speak"</formula>
    </cfRule>
  </conditionalFormatting>
  <hyperlinks>
    <hyperlink ref="A1" location="'Test Case Overview'!A1" display="Return to Test Case Overview" xr:uid="{00000000-0004-0000-0B00-000000000000}"/>
  </hyperlink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31" operator="containsText" text="WEB SERVICE" id="{65860B60-B157-4757-A1E8-11529EEEA846}">
            <xm:f>NOT(ISERROR(SEARCH("WEB SERVICE",'TC1'!E10)))</xm:f>
            <x14:dxf>
              <font>
                <color rgb="FF9C0006"/>
              </font>
              <fill>
                <patternFill>
                  <bgColor rgb="FFFFC7CE"/>
                </patternFill>
              </fill>
            </x14:dxf>
          </x14:cfRule>
          <x14:cfRule type="containsText" priority="32" operator="containsText" text="DB" id="{568133F7-649C-4B22-8BB9-8A949A0AEB06}">
            <xm:f>NOT(ISERROR(SEARCH("DB",'TC1'!E10)))</xm:f>
            <x14:dxf>
              <font>
                <color rgb="FF006100"/>
              </font>
              <fill>
                <patternFill>
                  <bgColor rgb="FFC6EFCE"/>
                </patternFill>
              </fill>
            </x14:dxf>
          </x14:cfRule>
          <xm:sqref>E9:E12</xm:sqref>
        </x14:conditionalFormatting>
        <x14:conditionalFormatting xmlns:xm="http://schemas.microsoft.com/office/excel/2006/main">
          <x14:cfRule type="containsText" priority="739" operator="containsText" text="WEB SERVICE" id="{65860B60-B157-4757-A1E8-11529EEEA846}">
            <xm:f>NOT(ISERROR(SEARCH("WEB SERVICE",'TC1'!#REF!)))</xm:f>
            <x14:dxf>
              <font>
                <color rgb="FF9C0006"/>
              </font>
              <fill>
                <patternFill>
                  <bgColor rgb="FFFFC7CE"/>
                </patternFill>
              </fill>
            </x14:dxf>
          </x14:cfRule>
          <x14:cfRule type="containsText" priority="740" operator="containsText" text="DB" id="{568133F7-649C-4B22-8BB9-8A949A0AEB06}">
            <xm:f>NOT(ISERROR(SEARCH("DB",'TC1'!#REF!)))</xm:f>
            <x14:dxf>
              <font>
                <color rgb="FF006100"/>
              </font>
              <fill>
                <patternFill>
                  <bgColor rgb="FFC6EFCE"/>
                </patternFill>
              </fill>
            </x14:dxf>
          </x14:cfRule>
          <xm:sqref>E13:E20</xm:sqref>
        </x14:conditionalFormatting>
      </x14:conditionalFormattings>
    </ext>
  </extLst>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sheetPr codeName="Sheet121"/>
  <dimension ref="A1:E17"/>
  <sheetViews>
    <sheetView zoomScaleNormal="100" workbookViewId="0">
      <selection activeCell="C4" sqref="C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TC119</v>
      </c>
      <c r="C2" s="94"/>
      <c r="D2" s="107"/>
      <c r="E2" s="93"/>
    </row>
    <row r="3" spans="1:5">
      <c r="A3" s="100" t="s">
        <v>19</v>
      </c>
      <c r="B3" s="108">
        <f ca="1">VLOOKUP(B2,Table1[#All],2,FALSE)</f>
        <v>0</v>
      </c>
      <c r="C3" s="94"/>
      <c r="D3" s="107"/>
      <c r="E3" s="93"/>
    </row>
    <row r="4" spans="1:5" ht="30">
      <c r="A4" s="109" t="s">
        <v>20</v>
      </c>
      <c r="B4" s="95" t="str">
        <f ca="1">VLOOKUP(B2,Table1[#All],4,FALSE)</f>
        <v>prompt/noinput/recover</v>
      </c>
      <c r="C4" s="94"/>
      <c r="D4" s="107"/>
      <c r="E4" s="93"/>
    </row>
    <row r="5" spans="1:5" ht="30">
      <c r="A5" s="100" t="s">
        <v>6</v>
      </c>
      <c r="B5" s="75" t="str">
        <f ca="1">VLOOKUP(B2,Table1[#All],3,FALSE)</f>
        <v>CallStart Main Menu/no input/ More options/Hear HWSE menu/HU</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str">
        <f>VLOOKUP(Table257519913140106110145[[#This Row],[PEG]],Table1016[#All],2,FALSE)</f>
        <v>CallID.wav Call ID &lt;CallID&gt;</v>
      </c>
      <c r="D9" s="149" t="s">
        <v>477</v>
      </c>
      <c r="E9" s="122" t="str">
        <f>VLOOKUP(Table257519913140106110145[[#This Row],[PEG]],Table1016[#All],3,FALSE)</f>
        <v>TEST</v>
      </c>
    </row>
    <row r="10" spans="1:5" ht="30">
      <c r="A10" s="114">
        <v>3</v>
      </c>
      <c r="B10" s="110" t="s">
        <v>115</v>
      </c>
      <c r="C10" s="127" t="str">
        <f>VLOOKUP(Table257519913140106110145[[#This Row],[PEG]],Table1016[#All],2,FALSE)</f>
        <v>0100.wav Thank you for calling Shell vacations Club, we are glad you called. Please have your account number available for faster service. [To continue in Spanish, press 9]</v>
      </c>
      <c r="D10" s="149">
        <v>100</v>
      </c>
      <c r="E10" s="122" t="str">
        <f>VLOOKUP(Table257519913140106110145[[#This Row],[PEG]],Table1016[#All],3,FALSE)</f>
        <v>PLAY PROMPT</v>
      </c>
    </row>
    <row r="11" spans="1:5" ht="30">
      <c r="A11" s="114">
        <v>4</v>
      </c>
      <c r="B11" s="110" t="s">
        <v>115</v>
      </c>
      <c r="C11" s="105" t="str">
        <f>VLOOKUP(Table257519913140106110145[[#This Row],[PEG]],Table1016[#All],2,FALSE)</f>
        <v>0110-1.wav Which would you like? You can say... reservations, payments &amp; statements, title &amp; ownership changes, or more options.</v>
      </c>
      <c r="D11" s="149">
        <v>110</v>
      </c>
      <c r="E11" s="122" t="str">
        <f>VLOOKUP(Table257519913140106110145[[#This Row],[PEG]],Table1016[#All],3,FALSE)</f>
        <v>MENU PROMPT</v>
      </c>
    </row>
    <row r="12" spans="1:5">
      <c r="A12" s="114">
        <v>5</v>
      </c>
      <c r="B12" s="110" t="s">
        <v>12</v>
      </c>
      <c r="C12" s="158" t="s">
        <v>607</v>
      </c>
      <c r="D12" s="149"/>
      <c r="E12" s="122" t="e">
        <f>VLOOKUP(Table257519913140106110145[[#This Row],[PEG]],Table1016[#All],3,FALSE)</f>
        <v>#N/A</v>
      </c>
    </row>
    <row r="13" spans="1:5">
      <c r="A13" s="114">
        <v>6</v>
      </c>
      <c r="B13" s="110" t="s">
        <v>115</v>
      </c>
      <c r="C13" s="105" t="str">
        <f>VLOOKUP(Table257519913140106110145[[#This Row],[PEG]],Table1016[#All],2,FALSE)</f>
        <v>Sorry.</v>
      </c>
      <c r="D13" s="149" t="s">
        <v>295</v>
      </c>
      <c r="E13" s="122" t="str">
        <f>VLOOKUP(Table257519913140106110145[[#This Row],[PEG]],Table1016[#All],3,FALSE)</f>
        <v>PLAY PROMPT</v>
      </c>
    </row>
    <row r="14" spans="1:5" ht="30">
      <c r="A14" s="114">
        <v>7</v>
      </c>
      <c r="B14" s="110" t="s">
        <v>115</v>
      </c>
      <c r="C14" s="105" t="str">
        <f>VLOOKUP(Table257519913140106110145[[#This Row],[PEG]],Table1016[#All],2,FALSE)</f>
        <v>0110-1.wav Which would you like? You can say... reservations, payments &amp; statements, title &amp; ownership changes, or more options.</v>
      </c>
      <c r="D14" s="149">
        <v>110</v>
      </c>
      <c r="E14" s="122" t="str">
        <f>VLOOKUP(Table257519913140106110145[[#This Row],[PEG]],Table1016[#All],3,FALSE)</f>
        <v>MENU PROMPT</v>
      </c>
    </row>
    <row r="15" spans="1:5">
      <c r="A15" s="114">
        <v>8</v>
      </c>
      <c r="B15" s="110" t="s">
        <v>124</v>
      </c>
      <c r="C15" s="151" t="s">
        <v>468</v>
      </c>
      <c r="D15" s="112"/>
      <c r="E15" s="122" t="e">
        <f>VLOOKUP(Table257519913140106110145[[#This Row],[PEG]],Table1016[#All],3,FALSE)</f>
        <v>#N/A</v>
      </c>
    </row>
    <row r="16" spans="1:5" ht="30">
      <c r="A16" s="114">
        <v>9</v>
      </c>
      <c r="B16" s="110" t="s">
        <v>115</v>
      </c>
      <c r="C16" s="105" t="str">
        <f>VLOOKUP(Table257519913140106110145[[#This Row],[PEG]],Table1016[#All],2,FALSE)</f>
        <v>0120-1.wav You can say... Wyndham rewards, points conversion, personal interval choice, or speak to a representative.</v>
      </c>
      <c r="D16" s="112">
        <v>120</v>
      </c>
      <c r="E16" s="122" t="str">
        <f>VLOOKUP(Table257519913140106110145[[#This Row],[PEG]],Table1016[#All],3,FALSE)</f>
        <v>MENU PROMPT</v>
      </c>
    </row>
    <row r="17" spans="1:5">
      <c r="A17" s="114">
        <v>10</v>
      </c>
      <c r="B17" s="110" t="s">
        <v>13</v>
      </c>
      <c r="C17" s="17" t="s">
        <v>13</v>
      </c>
      <c r="D17" s="111"/>
      <c r="E17" s="31"/>
    </row>
  </sheetData>
  <mergeCells count="1">
    <mergeCell ref="A1:B1"/>
  </mergeCells>
  <conditionalFormatting sqref="B8:B17">
    <cfRule type="containsText" dxfId="2403" priority="1" operator="containsText" text="Hear">
      <formula>NOT(ISERROR(SEARCH("Hear",B8)))</formula>
    </cfRule>
  </conditionalFormatting>
  <conditionalFormatting sqref="E17">
    <cfRule type="containsText" dxfId="2402" priority="6" operator="containsText" text="WEB SERVICE">
      <formula>NOT(ISERROR(SEARCH("WEB SERVICE",E17)))</formula>
    </cfRule>
    <cfRule type="containsText" dxfId="2401" priority="7" operator="containsText" text="DB">
      <formula>NOT(ISERROR(SEARCH("DB",E17)))</formula>
    </cfRule>
  </conditionalFormatting>
  <conditionalFormatting sqref="C17">
    <cfRule type="expression" dxfId="2400" priority="9">
      <formula>$B17="Dial"</formula>
    </cfRule>
    <cfRule type="expression" dxfId="2399" priority="11">
      <formula>$B17="HANGUP"</formula>
    </cfRule>
  </conditionalFormatting>
  <conditionalFormatting sqref="C17">
    <cfRule type="expression" dxfId="2398" priority="10">
      <formula>$B17="Speak"</formula>
    </cfRule>
  </conditionalFormatting>
  <hyperlinks>
    <hyperlink ref="A1" location="'Test Case Overview'!A1" display="Return to Test Case Overview" xr:uid="{00000000-0004-0000-77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2" id="{1D1902CF-8A7C-4DD5-BC14-8867A6C8D721}">
            <xm:f>'TC1'!$B8="Speak"</xm:f>
            <x14:dxf>
              <font>
                <b/>
                <i val="0"/>
                <color rgb="FFFF0000"/>
              </font>
            </x14:dxf>
          </x14:cfRule>
          <xm:sqref>C8</xm:sqref>
        </x14:conditionalFormatting>
        <x14:conditionalFormatting xmlns:xm="http://schemas.microsoft.com/office/excel/2006/main">
          <x14:cfRule type="containsText" priority="2" operator="containsText" text="WEB SERVICE" id="{1F35B7A4-6956-47B2-9D8F-379C9E154775}">
            <xm:f>NOT(ISERROR(SEARCH("WEB SERVICE",'TC1'!E10)))</xm:f>
            <x14:dxf>
              <font>
                <color rgb="FF9C0006"/>
              </font>
              <fill>
                <patternFill>
                  <bgColor rgb="FFFFC7CE"/>
                </patternFill>
              </fill>
            </x14:dxf>
          </x14:cfRule>
          <x14:cfRule type="containsText" priority="13" operator="containsText" text="DB" id="{26CD595C-4116-4C57-BCF5-DA4902064752}">
            <xm:f>NOT(ISERROR(SEARCH("DB",'TC1'!E10)))</xm:f>
            <x14:dxf>
              <font>
                <color rgb="FF006100"/>
              </font>
              <fill>
                <patternFill>
                  <bgColor rgb="FFC6EFCE"/>
                </patternFill>
              </fill>
            </x14:dxf>
          </x14:cfRule>
          <xm:sqref>E9:E12</xm:sqref>
        </x14:conditionalFormatting>
        <x14:conditionalFormatting xmlns:xm="http://schemas.microsoft.com/office/excel/2006/main">
          <x14:cfRule type="expression" priority="16" id="{0DD6871F-C1D7-40EB-A95A-53AE06EC25DB}">
            <xm:f>'TC1'!$B8="Dial"</xm:f>
            <x14:dxf>
              <font>
                <b/>
                <i val="0"/>
                <color rgb="FFFF0000"/>
              </font>
            </x14:dxf>
          </x14:cfRule>
          <x14:cfRule type="expression" priority="16" id="{F8AF5DE7-CF08-4F5F-B3EF-841F24DBD7FD}">
            <xm:f>'TC1'!$B8="HANGUP"</xm:f>
            <x14:dxf>
              <font>
                <b/>
                <i val="0"/>
              </font>
            </x14:dxf>
          </x14:cfRule>
          <xm:sqref>C8</xm:sqref>
        </x14:conditionalFormatting>
        <x14:conditionalFormatting xmlns:xm="http://schemas.microsoft.com/office/excel/2006/main">
          <x14:cfRule type="expression" priority="2646" id="{1D1902CF-8A7C-4DD5-BC14-8867A6C8D721}">
            <xm:f>'TC1'!#REF!="Speak"</xm:f>
            <x14:dxf>
              <font>
                <b/>
                <i val="0"/>
                <color rgb="FFFF0000"/>
              </font>
            </x14:dxf>
          </x14:cfRule>
          <xm:sqref>C13:C16</xm:sqref>
        </x14:conditionalFormatting>
        <x14:conditionalFormatting xmlns:xm="http://schemas.microsoft.com/office/excel/2006/main">
          <x14:cfRule type="containsText" priority="2652" operator="containsText" text="WEB SERVICE" id="{1F35B7A4-6956-47B2-9D8F-379C9E154775}">
            <xm:f>NOT(ISERROR(SEARCH("WEB SERVICE",'TC1'!#REF!)))</xm:f>
            <x14:dxf>
              <font>
                <color rgb="FF9C0006"/>
              </font>
              <fill>
                <patternFill>
                  <bgColor rgb="FFFFC7CE"/>
                </patternFill>
              </fill>
            </x14:dxf>
          </x14:cfRule>
          <x14:cfRule type="containsText" priority="2653" operator="containsText" text="DB" id="{26CD595C-4116-4C57-BCF5-DA4902064752}">
            <xm:f>NOT(ISERROR(SEARCH("DB",'TC1'!#REF!)))</xm:f>
            <x14:dxf>
              <font>
                <color rgb="FF006100"/>
              </font>
              <fill>
                <patternFill>
                  <bgColor rgb="FFC6EFCE"/>
                </patternFill>
              </fill>
            </x14:dxf>
          </x14:cfRule>
          <xm:sqref>E13:E16</xm:sqref>
        </x14:conditionalFormatting>
        <x14:conditionalFormatting xmlns:xm="http://schemas.microsoft.com/office/excel/2006/main">
          <x14:cfRule type="expression" priority="2660" id="{0DD6871F-C1D7-40EB-A95A-53AE06EC25DB}">
            <xm:f>'TC1'!#REF!="Dial"</xm:f>
            <x14:dxf>
              <font>
                <b/>
                <i val="0"/>
                <color rgb="FFFF0000"/>
              </font>
            </x14:dxf>
          </x14:cfRule>
          <x14:cfRule type="expression" priority="2661" id="{F8AF5DE7-CF08-4F5F-B3EF-841F24DBD7FD}">
            <xm:f>'TC1'!#REF!="HANGUP"</xm:f>
            <x14:dxf>
              <font>
                <b/>
                <i val="0"/>
              </font>
            </x14:dxf>
          </x14:cfRule>
          <xm:sqref>C13:C16</xm:sqref>
        </x14:conditionalFormatting>
        <x14:conditionalFormatting xmlns:xm="http://schemas.microsoft.com/office/excel/2006/main">
          <x14:cfRule type="expression" priority="4309" id="{1D1902CF-8A7C-4DD5-BC14-8867A6C8D721}">
            <xm:f>'TC1'!$B10="Speak"</xm:f>
            <x14:dxf>
              <font>
                <b/>
                <i val="0"/>
                <color rgb="FFFF0000"/>
              </font>
            </x14:dxf>
          </x14:cfRule>
          <xm:sqref>C9:C12</xm:sqref>
        </x14:conditionalFormatting>
        <x14:conditionalFormatting xmlns:xm="http://schemas.microsoft.com/office/excel/2006/main">
          <x14:cfRule type="expression" priority="4314" id="{0DD6871F-C1D7-40EB-A95A-53AE06EC25DB}">
            <xm:f>'TC1'!$B10="Dial"</xm:f>
            <x14:dxf>
              <font>
                <b/>
                <i val="0"/>
                <color rgb="FFFF0000"/>
              </font>
            </x14:dxf>
          </x14:cfRule>
          <x14:cfRule type="expression" priority="4315" id="{F8AF5DE7-CF08-4F5F-B3EF-841F24DBD7FD}">
            <xm:f>'TC1'!$B10="HANGUP"</xm:f>
            <x14:dxf>
              <font>
                <b/>
                <i val="0"/>
              </font>
            </x14:dxf>
          </x14:cfRule>
          <xm:sqref>C9:C12</xm:sqref>
        </x14:conditionalFormatting>
      </x14:conditionalFormattings>
    </ext>
  </extLst>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sheetPr codeName="Sheet122"/>
  <dimension ref="A1:E17"/>
  <sheetViews>
    <sheetView zoomScaleNormal="100" workbookViewId="0">
      <selection activeCell="C24" sqref="C2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TC120</v>
      </c>
      <c r="C2" s="94"/>
      <c r="D2" s="107"/>
      <c r="E2" s="93"/>
    </row>
    <row r="3" spans="1:5">
      <c r="A3" s="100" t="s">
        <v>19</v>
      </c>
      <c r="B3" s="108">
        <f ca="1">VLOOKUP(B2,Table1[#All],2,FALSE)</f>
        <v>0</v>
      </c>
      <c r="C3" s="94"/>
      <c r="D3" s="107"/>
      <c r="E3" s="93"/>
    </row>
    <row r="4" spans="1:5" ht="30">
      <c r="A4" s="109" t="s">
        <v>20</v>
      </c>
      <c r="B4" s="95" t="str">
        <f ca="1">VLOOKUP(B2,Table1[#All],4,FALSE)</f>
        <v>prompt/nomatch/recover</v>
      </c>
      <c r="C4" s="94"/>
      <c r="D4" s="107"/>
      <c r="E4" s="93"/>
    </row>
    <row r="5" spans="1:5" ht="30">
      <c r="A5" s="100" t="s">
        <v>6</v>
      </c>
      <c r="B5" s="75" t="str">
        <f ca="1">VLOOKUP(B2,Table1[#All],3,FALSE)</f>
        <v>CallStart Main Menu/no Match/ More options/Hear HWSE menu/HU</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str">
        <f>VLOOKUP(Table257519913140106110147[[#This Row],[PEG]],Table1016[#All],2,FALSE)</f>
        <v>CallID.wav Call ID &lt;CallID&gt;</v>
      </c>
      <c r="D9" s="149" t="s">
        <v>477</v>
      </c>
      <c r="E9" s="122" t="str">
        <f>VLOOKUP(Table257519913140106110147[[#This Row],[PEG]],Table1016[#All],3,FALSE)</f>
        <v>TEST</v>
      </c>
    </row>
    <row r="10" spans="1:5" ht="30">
      <c r="A10" s="114">
        <v>3</v>
      </c>
      <c r="B10" s="110" t="s">
        <v>115</v>
      </c>
      <c r="C10" s="105" t="str">
        <f>VLOOKUP(Table257519913140106110147[[#This Row],[PEG]],Table1016[#All],2,FALSE)</f>
        <v>0100.wav Thank you for calling Shell vacations Club, we are glad you called. Please have your account number available for faster service. [To continue in Spanish, press 9]</v>
      </c>
      <c r="D10" s="149">
        <v>100</v>
      </c>
      <c r="E10" s="122" t="str">
        <f>VLOOKUP(Table257519913140106110147[[#This Row],[PEG]],Table1016[#All],3,FALSE)</f>
        <v>PLAY PROMPT</v>
      </c>
    </row>
    <row r="11" spans="1:5" ht="30">
      <c r="A11" s="114">
        <v>4</v>
      </c>
      <c r="B11" s="110" t="s">
        <v>115</v>
      </c>
      <c r="C11" s="105" t="str">
        <f>VLOOKUP(Table257519913140106110147[[#This Row],[PEG]],Table1016[#All],2,FALSE)</f>
        <v>0110-1.wav Which would you like? You can say... reservations, payments &amp; statements, title &amp; ownership changes, or more options.</v>
      </c>
      <c r="D11" s="149">
        <v>110</v>
      </c>
      <c r="E11" s="122" t="str">
        <f>VLOOKUP(Table257519913140106110147[[#This Row],[PEG]],Table1016[#All],3,FALSE)</f>
        <v>MENU PROMPT</v>
      </c>
    </row>
    <row r="12" spans="1:5">
      <c r="A12" s="114">
        <v>5</v>
      </c>
      <c r="B12" s="110" t="s">
        <v>114</v>
      </c>
      <c r="C12" s="172" t="s">
        <v>1</v>
      </c>
      <c r="D12" s="149"/>
      <c r="E12" s="122" t="e">
        <f>VLOOKUP(Table257519913140106110147[[#This Row],[PEG]],Table1016[#All],3,FALSE)</f>
        <v>#N/A</v>
      </c>
    </row>
    <row r="13" spans="1:5">
      <c r="A13" s="114">
        <v>6</v>
      </c>
      <c r="B13" s="110" t="s">
        <v>115</v>
      </c>
      <c r="C13" s="105" t="str">
        <f>VLOOKUP(Table257519913140106110147[[#This Row],[PEG]],Table1016[#All],2,FALSE)</f>
        <v>Sorry.</v>
      </c>
      <c r="D13" s="149" t="s">
        <v>295</v>
      </c>
      <c r="E13" s="122" t="str">
        <f>VLOOKUP(Table257519913140106110147[[#This Row],[PEG]],Table1016[#All],3,FALSE)</f>
        <v>PLAY PROMPT</v>
      </c>
    </row>
    <row r="14" spans="1:5" ht="30">
      <c r="A14" s="114">
        <v>7</v>
      </c>
      <c r="B14" s="110" t="s">
        <v>115</v>
      </c>
      <c r="C14" s="105" t="str">
        <f>VLOOKUP(Table257519913140106110147[[#This Row],[PEG]],Table1016[#All],2,FALSE)</f>
        <v>0110-1.wav Which would you like? You can say... reservations, payments &amp; statements, title &amp; ownership changes, or more options.</v>
      </c>
      <c r="D14" s="149">
        <v>110</v>
      </c>
      <c r="E14" s="122" t="str">
        <f>VLOOKUP(Table257519913140106110147[[#This Row],[PEG]],Table1016[#All],3,FALSE)</f>
        <v>MENU PROMPT</v>
      </c>
    </row>
    <row r="15" spans="1:5">
      <c r="A15" s="114">
        <v>8</v>
      </c>
      <c r="B15" s="110" t="s">
        <v>124</v>
      </c>
      <c r="C15" s="151" t="s">
        <v>468</v>
      </c>
      <c r="D15" s="112"/>
      <c r="E15" s="122" t="e">
        <f>VLOOKUP(Table257519913140106110147[[#This Row],[PEG]],Table1016[#All],3,FALSE)</f>
        <v>#N/A</v>
      </c>
    </row>
    <row r="16" spans="1:5" ht="30">
      <c r="A16" s="114">
        <v>9</v>
      </c>
      <c r="B16" s="110" t="s">
        <v>115</v>
      </c>
      <c r="C16" s="105" t="str">
        <f>VLOOKUP(Table257519913140106110147[[#This Row],[PEG]],Table1016[#All],2,FALSE)</f>
        <v>0120-1.wav You can say... Wyndham rewards, points conversion, personal interval choice, or speak to a representative.</v>
      </c>
      <c r="D16" s="112">
        <v>120</v>
      </c>
      <c r="E16" s="122" t="str">
        <f>VLOOKUP(Table257519913140106110147[[#This Row],[PEG]],Table1016[#All],3,FALSE)</f>
        <v>MENU PROMPT</v>
      </c>
    </row>
    <row r="17" spans="1:5">
      <c r="A17" s="114">
        <v>10</v>
      </c>
      <c r="B17" s="110" t="s">
        <v>13</v>
      </c>
      <c r="C17" s="17" t="s">
        <v>13</v>
      </c>
      <c r="D17" s="111"/>
      <c r="E17" s="31"/>
    </row>
  </sheetData>
  <mergeCells count="1">
    <mergeCell ref="A1:B1"/>
  </mergeCells>
  <conditionalFormatting sqref="B8 B17">
    <cfRule type="containsText" dxfId="2375" priority="2" operator="containsText" text="Hear">
      <formula>NOT(ISERROR(SEARCH("Hear",B8)))</formula>
    </cfRule>
  </conditionalFormatting>
  <conditionalFormatting sqref="E17">
    <cfRule type="containsText" dxfId="2374" priority="7" operator="containsText" text="WEB SERVICE">
      <formula>NOT(ISERROR(SEARCH("WEB SERVICE",E17)))</formula>
    </cfRule>
    <cfRule type="containsText" dxfId="2373" priority="8" operator="containsText" text="DB">
      <formula>NOT(ISERROR(SEARCH("DB",E17)))</formula>
    </cfRule>
  </conditionalFormatting>
  <conditionalFormatting sqref="C17">
    <cfRule type="expression" dxfId="2372" priority="10">
      <formula>$B17="Dial"</formula>
    </cfRule>
    <cfRule type="expression" dxfId="2371" priority="12">
      <formula>$B17="HANGUP"</formula>
    </cfRule>
  </conditionalFormatting>
  <conditionalFormatting sqref="C17">
    <cfRule type="expression" dxfId="2370" priority="11">
      <formula>$B17="Speak"</formula>
    </cfRule>
  </conditionalFormatting>
  <conditionalFormatting sqref="B9:B16">
    <cfRule type="containsText" dxfId="2369" priority="1" operator="containsText" text="Hear">
      <formula>NOT(ISERROR(SEARCH("Hear",B9)))</formula>
    </cfRule>
  </conditionalFormatting>
  <hyperlinks>
    <hyperlink ref="A1" location="'Test Case Overview'!A1" display="Return to Test Case Overview" xr:uid="{00000000-0004-0000-78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3" id="{3A4B417D-A386-4979-82CB-8F1EF167DC31}">
            <xm:f>'TC1'!$B8="Speak"</xm:f>
            <x14:dxf>
              <font>
                <b/>
                <i val="0"/>
                <color rgb="FFFF0000"/>
              </font>
            </x14:dxf>
          </x14:cfRule>
          <xm:sqref>C8</xm:sqref>
        </x14:conditionalFormatting>
        <x14:conditionalFormatting xmlns:xm="http://schemas.microsoft.com/office/excel/2006/main">
          <x14:cfRule type="containsText" priority="3" operator="containsText" text="WEB SERVICE" id="{A79A8B2E-3CCE-4B42-BFE8-DCEDAD9052CA}">
            <xm:f>NOT(ISERROR(SEARCH("WEB SERVICE",'TC1'!E10)))</xm:f>
            <x14:dxf>
              <font>
                <color rgb="FF9C0006"/>
              </font>
              <fill>
                <patternFill>
                  <bgColor rgb="FFFFC7CE"/>
                </patternFill>
              </fill>
            </x14:dxf>
          </x14:cfRule>
          <x14:cfRule type="containsText" priority="14" operator="containsText" text="DB" id="{C7AFCDB3-D14A-48DE-A9EC-A8421F34FFEB}">
            <xm:f>NOT(ISERROR(SEARCH("DB",'TC1'!E10)))</xm:f>
            <x14:dxf>
              <font>
                <color rgb="FF006100"/>
              </font>
              <fill>
                <patternFill>
                  <bgColor rgb="FFC6EFCE"/>
                </patternFill>
              </fill>
            </x14:dxf>
          </x14:cfRule>
          <xm:sqref>E9:E12</xm:sqref>
        </x14:conditionalFormatting>
        <x14:conditionalFormatting xmlns:xm="http://schemas.microsoft.com/office/excel/2006/main">
          <x14:cfRule type="expression" priority="17" id="{7C7E7B0D-A7AA-4B31-834E-FB1BCE7BD42C}">
            <xm:f>'TC1'!$B8="Dial"</xm:f>
            <x14:dxf>
              <font>
                <b/>
                <i val="0"/>
                <color rgb="FFFF0000"/>
              </font>
            </x14:dxf>
          </x14:cfRule>
          <x14:cfRule type="expression" priority="17" id="{7EC5793B-755E-43F3-B12A-82D726BC3C02}">
            <xm:f>'TC1'!$B8="HANGUP"</xm:f>
            <x14:dxf>
              <font>
                <b/>
                <i val="0"/>
              </font>
            </x14:dxf>
          </x14:cfRule>
          <xm:sqref>C8</xm:sqref>
        </x14:conditionalFormatting>
        <x14:conditionalFormatting xmlns:xm="http://schemas.microsoft.com/office/excel/2006/main">
          <x14:cfRule type="expression" priority="2667" id="{3A4B417D-A386-4979-82CB-8F1EF167DC31}">
            <xm:f>'TC1'!#REF!="Speak"</xm:f>
            <x14:dxf>
              <font>
                <b/>
                <i val="0"/>
                <color rgb="FFFF0000"/>
              </font>
            </x14:dxf>
          </x14:cfRule>
          <xm:sqref>C13:C16</xm:sqref>
        </x14:conditionalFormatting>
        <x14:conditionalFormatting xmlns:xm="http://schemas.microsoft.com/office/excel/2006/main">
          <x14:cfRule type="containsText" priority="2673" operator="containsText" text="WEB SERVICE" id="{A79A8B2E-3CCE-4B42-BFE8-DCEDAD9052CA}">
            <xm:f>NOT(ISERROR(SEARCH("WEB SERVICE",'TC1'!#REF!)))</xm:f>
            <x14:dxf>
              <font>
                <color rgb="FF9C0006"/>
              </font>
              <fill>
                <patternFill>
                  <bgColor rgb="FFFFC7CE"/>
                </patternFill>
              </fill>
            </x14:dxf>
          </x14:cfRule>
          <x14:cfRule type="containsText" priority="2674" operator="containsText" text="DB" id="{C7AFCDB3-D14A-48DE-A9EC-A8421F34FFEB}">
            <xm:f>NOT(ISERROR(SEARCH("DB",'TC1'!#REF!)))</xm:f>
            <x14:dxf>
              <font>
                <color rgb="FF006100"/>
              </font>
              <fill>
                <patternFill>
                  <bgColor rgb="FFC6EFCE"/>
                </patternFill>
              </fill>
            </x14:dxf>
          </x14:cfRule>
          <xm:sqref>E13:E16</xm:sqref>
        </x14:conditionalFormatting>
        <x14:conditionalFormatting xmlns:xm="http://schemas.microsoft.com/office/excel/2006/main">
          <x14:cfRule type="expression" priority="2681" id="{7C7E7B0D-A7AA-4B31-834E-FB1BCE7BD42C}">
            <xm:f>'TC1'!#REF!="Dial"</xm:f>
            <x14:dxf>
              <font>
                <b/>
                <i val="0"/>
                <color rgb="FFFF0000"/>
              </font>
            </x14:dxf>
          </x14:cfRule>
          <x14:cfRule type="expression" priority="2682" id="{7EC5793B-755E-43F3-B12A-82D726BC3C02}">
            <xm:f>'TC1'!#REF!="HANGUP"</xm:f>
            <x14:dxf>
              <font>
                <b/>
                <i val="0"/>
              </font>
            </x14:dxf>
          </x14:cfRule>
          <xm:sqref>C13:C16</xm:sqref>
        </x14:conditionalFormatting>
        <x14:conditionalFormatting xmlns:xm="http://schemas.microsoft.com/office/excel/2006/main">
          <x14:cfRule type="expression" priority="4318" id="{3A4B417D-A386-4979-82CB-8F1EF167DC31}">
            <xm:f>'TC1'!$B10="Speak"</xm:f>
            <x14:dxf>
              <font>
                <b/>
                <i val="0"/>
                <color rgb="FFFF0000"/>
              </font>
            </x14:dxf>
          </x14:cfRule>
          <xm:sqref>C9:C12</xm:sqref>
        </x14:conditionalFormatting>
        <x14:conditionalFormatting xmlns:xm="http://schemas.microsoft.com/office/excel/2006/main">
          <x14:cfRule type="expression" priority="4323" id="{7C7E7B0D-A7AA-4B31-834E-FB1BCE7BD42C}">
            <xm:f>'TC1'!$B10="Dial"</xm:f>
            <x14:dxf>
              <font>
                <b/>
                <i val="0"/>
                <color rgb="FFFF0000"/>
              </font>
            </x14:dxf>
          </x14:cfRule>
          <x14:cfRule type="expression" priority="4324" id="{7EC5793B-755E-43F3-B12A-82D726BC3C02}">
            <xm:f>'TC1'!$B10="HANGUP"</xm:f>
            <x14:dxf>
              <font>
                <b/>
                <i val="0"/>
              </font>
            </x14:dxf>
          </x14:cfRule>
          <xm:sqref>C9:C12</xm:sqref>
        </x14:conditionalFormatting>
      </x14:conditionalFormattings>
    </ext>
  </extLst>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sheetPr codeName="Sheet123"/>
  <dimension ref="A1:E44"/>
  <sheetViews>
    <sheetView zoomScaleNormal="100" workbookViewId="0">
      <selection activeCell="B4" sqref="B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TC121</v>
      </c>
      <c r="C2" s="94"/>
      <c r="D2" s="107"/>
      <c r="E2" s="93"/>
    </row>
    <row r="3" spans="1:5">
      <c r="A3" s="100" t="s">
        <v>19</v>
      </c>
      <c r="B3" s="108" t="e">
        <f ca="1">VLOOKUP(B2,Table1[#All],2,FALSE)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VLOOKUP(Table257519913140106110149[[#This Row],[PEG]],Table1016[#All],2,FALSE)</f>
        <v>#N/A</v>
      </c>
      <c r="D9" s="125"/>
      <c r="E9" s="122" t="e">
        <f>VLOOKUP(Table257519913140106110149[[#This Row],[PEG]],Table1016[#All],3,FALSE)</f>
        <v>#N/A</v>
      </c>
    </row>
    <row r="10" spans="1:5">
      <c r="A10" s="114">
        <v>3</v>
      </c>
      <c r="B10" s="110" t="s">
        <v>115</v>
      </c>
      <c r="C10" s="105" t="e">
        <f>VLOOKUP(Table257519913140106110149[[#This Row],[PEG]],Table1016[#All],2,FALSE)</f>
        <v>#N/A</v>
      </c>
      <c r="D10" s="125"/>
      <c r="E10" s="122" t="e">
        <f>VLOOKUP(Table257519913140106110149[[#This Row],[PEG]],Table1016[#All],3,FALSE)</f>
        <v>#N/A</v>
      </c>
    </row>
    <row r="11" spans="1:5">
      <c r="A11" s="114">
        <v>4</v>
      </c>
      <c r="B11" s="110" t="s">
        <v>115</v>
      </c>
      <c r="C11" s="105" t="e">
        <f>VLOOKUP(Table257519913140106110149[[#This Row],[PEG]],Table1016[#All],2,FALSE)</f>
        <v>#N/A</v>
      </c>
      <c r="D11" s="125"/>
      <c r="E11" s="122" t="e">
        <f>VLOOKUP(Table257519913140106110149[[#This Row],[PEG]],Table1016[#All],3,FALSE)</f>
        <v>#N/A</v>
      </c>
    </row>
    <row r="12" spans="1:5">
      <c r="A12" s="114">
        <v>5</v>
      </c>
      <c r="B12" s="110" t="s">
        <v>114</v>
      </c>
      <c r="C12" s="105" t="e">
        <f>VLOOKUP(Table257519913140106110149[[#This Row],[PEG]],Table1016[#All],2,FALSE)</f>
        <v>#N/A</v>
      </c>
      <c r="D12" s="125"/>
      <c r="E12" s="122" t="e">
        <f>VLOOKUP(Table257519913140106110149[[#This Row],[PEG]],Table1016[#All],3,FALSE)</f>
        <v>#N/A</v>
      </c>
    </row>
    <row r="13" spans="1:5">
      <c r="A13" s="114">
        <v>6</v>
      </c>
      <c r="B13" s="110" t="s">
        <v>115</v>
      </c>
      <c r="C13" s="105" t="e">
        <f>VLOOKUP(Table257519913140106110149[[#This Row],[PEG]],Table1016[#All],2,FALSE)</f>
        <v>#N/A</v>
      </c>
      <c r="D13" s="125"/>
      <c r="E13" s="122" t="e">
        <f>VLOOKUP(Table257519913140106110149[[#This Row],[PEG]],Table1016[#All],3,FALSE)</f>
        <v>#N/A</v>
      </c>
    </row>
    <row r="14" spans="1:5">
      <c r="A14" s="114">
        <v>7</v>
      </c>
      <c r="B14" s="110" t="s">
        <v>114</v>
      </c>
      <c r="C14" s="105" t="e">
        <f>VLOOKUP(Table257519913140106110149[[#This Row],[PEG]],Table1016[#All],2,FALSE)</f>
        <v>#N/A</v>
      </c>
      <c r="D14" s="125"/>
      <c r="E14" s="122" t="e">
        <f>VLOOKUP(Table257519913140106110149[[#This Row],[PEG]],Table1016[#All],3,FALSE)</f>
        <v>#N/A</v>
      </c>
    </row>
    <row r="15" spans="1:5">
      <c r="A15" s="114">
        <v>8</v>
      </c>
      <c r="B15" s="110" t="s">
        <v>115</v>
      </c>
      <c r="C15" s="105" t="e">
        <f>VLOOKUP(Table257519913140106110149[[#This Row],[PEG]],Table1016[#All],2,FALSE)</f>
        <v>#N/A</v>
      </c>
      <c r="D15" s="112"/>
      <c r="E15" s="122" t="e">
        <f>VLOOKUP(Table257519913140106110149[[#This Row],[PEG]],Table1016[#All],3,FALSE)</f>
        <v>#N/A</v>
      </c>
    </row>
    <row r="16" spans="1:5">
      <c r="A16" s="114">
        <v>9</v>
      </c>
      <c r="B16" s="110" t="s">
        <v>12</v>
      </c>
      <c r="C16" s="105" t="e">
        <f>VLOOKUP(Table257519913140106110149[[#This Row],[PEG]],Table1016[#All],2,FALSE)</f>
        <v>#N/A</v>
      </c>
      <c r="D16" s="112"/>
      <c r="E16" s="122" t="e">
        <f>VLOOKUP(Table257519913140106110149[[#This Row],[PEG]],Table1016[#All],3,FALSE)</f>
        <v>#N/A</v>
      </c>
    </row>
    <row r="17" spans="1:5">
      <c r="A17" s="114">
        <v>10</v>
      </c>
      <c r="B17" s="110" t="s">
        <v>12</v>
      </c>
      <c r="C17" s="105" t="e">
        <f>VLOOKUP(Table257519913140106110149[[#This Row],[PEG]],Table1016[#All],2,FALSE)</f>
        <v>#N/A</v>
      </c>
      <c r="D17" s="113"/>
      <c r="E17" s="122" t="e">
        <f>VLOOKUP(Table257519913140106110149[[#This Row],[PEG]],Table1016[#All],3,FALSE)</f>
        <v>#N/A</v>
      </c>
    </row>
    <row r="18" spans="1:5">
      <c r="A18" s="114">
        <v>11</v>
      </c>
      <c r="B18" s="110" t="s">
        <v>115</v>
      </c>
      <c r="C18" s="105" t="e">
        <f>VLOOKUP(Table257519913140106110149[[#This Row],[PEG]],Table1016[#All],2,FALSE)</f>
        <v>#N/A</v>
      </c>
      <c r="D18" s="113"/>
      <c r="E18" s="122" t="e">
        <f>VLOOKUP(Table257519913140106110149[[#This Row],[PEG]],Table1016[#All],3,FALSE)</f>
        <v>#N/A</v>
      </c>
    </row>
    <row r="19" spans="1:5">
      <c r="A19" s="114">
        <v>12</v>
      </c>
      <c r="B19" s="110" t="s">
        <v>115</v>
      </c>
      <c r="C19" s="105" t="e">
        <f>VLOOKUP(Table257519913140106110149[[#This Row],[PEG]],Table1016[#All],2,FALSE)</f>
        <v>#N/A</v>
      </c>
      <c r="D19" s="113"/>
      <c r="E19" s="122" t="e">
        <f>VLOOKUP(Table257519913140106110149[[#This Row],[PEG]],Table1016[#All],3,FALSE)</f>
        <v>#N/A</v>
      </c>
    </row>
    <row r="20" spans="1:5">
      <c r="A20" s="114">
        <v>13</v>
      </c>
      <c r="B20" s="110" t="s">
        <v>114</v>
      </c>
      <c r="C20" s="105" t="e">
        <f>VLOOKUP(Table257519913140106110149[[#This Row],[PEG]],Table1016[#All],2,FALSE)</f>
        <v>#N/A</v>
      </c>
      <c r="D20" s="113"/>
      <c r="E20" s="122" t="e">
        <f>VLOOKUP(Table257519913140106110149[[#This Row],[PEG]],Table1016[#All],3,FALSE)</f>
        <v>#N/A</v>
      </c>
    </row>
    <row r="21" spans="1:5">
      <c r="A21" s="114">
        <v>14</v>
      </c>
      <c r="B21" s="110" t="s">
        <v>12</v>
      </c>
      <c r="C21" s="105" t="e">
        <f>VLOOKUP(Table257519913140106110149[[#This Row],[PEG]],Table1016[#All],2,FALSE)</f>
        <v>#N/A</v>
      </c>
      <c r="D21" s="113"/>
      <c r="E21" s="122" t="e">
        <f>VLOOKUP(Table257519913140106110149[[#This Row],[PEG]],Table1016[#All],3,FALSE)</f>
        <v>#N/A</v>
      </c>
    </row>
    <row r="22" spans="1:5">
      <c r="A22" s="114">
        <v>15</v>
      </c>
      <c r="B22" s="110" t="s">
        <v>12</v>
      </c>
      <c r="C22" s="105" t="e">
        <f>VLOOKUP(Table257519913140106110149[[#This Row],[PEG]],Table1016[#All],2,FALSE)</f>
        <v>#N/A</v>
      </c>
      <c r="D22" s="113"/>
      <c r="E22" s="122" t="e">
        <f>VLOOKUP(Table257519913140106110149[[#This Row],[PEG]],Table1016[#All],3,FALSE)</f>
        <v>#N/A</v>
      </c>
    </row>
    <row r="23" spans="1:5">
      <c r="A23" s="114">
        <v>16</v>
      </c>
      <c r="B23" s="110" t="s">
        <v>115</v>
      </c>
      <c r="C23" s="105" t="e">
        <f>VLOOKUP(Table257519913140106110149[[#This Row],[PEG]],Table1016[#All],2,FALSE)</f>
        <v>#N/A</v>
      </c>
      <c r="D23" s="113"/>
      <c r="E23" s="122" t="e">
        <f>VLOOKUP(Table257519913140106110149[[#This Row],[PEG]],Table1016[#All],3,FALSE)</f>
        <v>#N/A</v>
      </c>
    </row>
    <row r="24" spans="1:5">
      <c r="A24" s="114">
        <v>17</v>
      </c>
      <c r="B24" s="110" t="s">
        <v>114</v>
      </c>
      <c r="C24" s="105" t="e">
        <f>VLOOKUP(Table257519913140106110149[[#This Row],[PEG]],Table1016[#All],2,FALSE)</f>
        <v>#N/A</v>
      </c>
      <c r="D24" s="113"/>
      <c r="E24" s="122" t="e">
        <f>VLOOKUP(Table257519913140106110149[[#This Row],[PEG]],Table1016[#All],3,FALSE)</f>
        <v>#N/A</v>
      </c>
    </row>
    <row r="25" spans="1:5">
      <c r="A25" s="114">
        <v>18</v>
      </c>
      <c r="B25" s="110" t="s">
        <v>12</v>
      </c>
      <c r="C25" s="105" t="e">
        <f>VLOOKUP(Table257519913140106110149[[#This Row],[PEG]],Table1016[#All],2,FALSE)</f>
        <v>#N/A</v>
      </c>
      <c r="D25" s="113"/>
      <c r="E25" s="122" t="e">
        <f>VLOOKUP(Table257519913140106110149[[#This Row],[PEG]],Table1016[#All],3,FALSE)</f>
        <v>#N/A</v>
      </c>
    </row>
    <row r="26" spans="1:5">
      <c r="A26" s="114">
        <v>19</v>
      </c>
      <c r="B26" s="110" t="s">
        <v>12</v>
      </c>
      <c r="C26" s="105" t="e">
        <f>VLOOKUP(Table257519913140106110149[[#This Row],[PEG]],Table1016[#All],2,FALSE)</f>
        <v>#N/A</v>
      </c>
      <c r="D26" s="113"/>
      <c r="E26" s="122" t="e">
        <f>VLOOKUP(Table257519913140106110149[[#This Row],[PEG]],Table1016[#All],3,FALSE)</f>
        <v>#N/A</v>
      </c>
    </row>
    <row r="27" spans="1:5">
      <c r="A27" s="114">
        <v>20</v>
      </c>
      <c r="B27" s="110" t="s">
        <v>115</v>
      </c>
      <c r="C27" s="105" t="e">
        <f>VLOOKUP(Table257519913140106110149[[#This Row],[PEG]],Table1016[#All],2,FALSE)</f>
        <v>#N/A</v>
      </c>
      <c r="D27" s="113"/>
      <c r="E27" s="122" t="e">
        <f>VLOOKUP(Table257519913140106110149[[#This Row],[PEG]],Table1016[#All],3,FALSE)</f>
        <v>#N/A</v>
      </c>
    </row>
    <row r="28" spans="1:5">
      <c r="A28" s="114">
        <v>21</v>
      </c>
      <c r="B28" s="110" t="s">
        <v>114</v>
      </c>
      <c r="C28" s="105" t="e">
        <f>VLOOKUP(Table257519913140106110149[[#This Row],[PEG]],Table1016[#All],2,FALSE)</f>
        <v>#N/A</v>
      </c>
      <c r="D28" s="113"/>
      <c r="E28" s="122" t="e">
        <f>VLOOKUP(Table257519913140106110149[[#This Row],[PEG]],Table1016[#All],3,FALSE)</f>
        <v>#N/A</v>
      </c>
    </row>
    <row r="29" spans="1:5">
      <c r="A29" s="114">
        <v>22</v>
      </c>
      <c r="B29" s="110" t="s">
        <v>12</v>
      </c>
      <c r="C29" s="105" t="e">
        <f>VLOOKUP(Table257519913140106110149[[#This Row],[PEG]],Table1016[#All],2,FALSE)</f>
        <v>#N/A</v>
      </c>
      <c r="D29" s="113"/>
      <c r="E29" s="122" t="e">
        <f>VLOOKUP(Table257519913140106110149[[#This Row],[PEG]],Table1016[#All],3,FALSE)</f>
        <v>#N/A</v>
      </c>
    </row>
    <row r="30" spans="1:5">
      <c r="A30" s="114">
        <v>23</v>
      </c>
      <c r="B30" s="110" t="s">
        <v>12</v>
      </c>
      <c r="C30" s="105" t="e">
        <f>VLOOKUP(Table257519913140106110149[[#This Row],[PEG]],Table1016[#All],2,FALSE)</f>
        <v>#N/A</v>
      </c>
      <c r="D30" s="113"/>
      <c r="E30" s="122" t="e">
        <f>VLOOKUP(Table257519913140106110149[[#This Row],[PEG]],Table1016[#All],3,FALSE)</f>
        <v>#N/A</v>
      </c>
    </row>
    <row r="31" spans="1:5">
      <c r="A31" s="114">
        <v>24</v>
      </c>
      <c r="B31" s="110" t="s">
        <v>115</v>
      </c>
      <c r="C31" s="105" t="e">
        <f>VLOOKUP(Table257519913140106110149[[#This Row],[PEG]],Table1016[#All],2,FALSE)</f>
        <v>#N/A</v>
      </c>
      <c r="D31" s="113"/>
      <c r="E31" s="122" t="e">
        <f>VLOOKUP(Table257519913140106110149[[#This Row],[PEG]],Table1016[#All],3,FALSE)</f>
        <v>#N/A</v>
      </c>
    </row>
    <row r="32" spans="1:5">
      <c r="A32" s="114">
        <v>25</v>
      </c>
      <c r="B32" s="110" t="s">
        <v>115</v>
      </c>
      <c r="C32" s="105" t="e">
        <f>VLOOKUP(Table257519913140106110149[[#This Row],[PEG]],Table1016[#All],2,FALSE)</f>
        <v>#N/A</v>
      </c>
      <c r="D32" s="113"/>
      <c r="E32" s="122" t="e">
        <f>VLOOKUP(Table257519913140106110149[[#This Row],[PEG]],Table1016[#All],3,FALSE)</f>
        <v>#N/A</v>
      </c>
    </row>
    <row r="33" spans="1:5">
      <c r="A33" s="114">
        <v>26</v>
      </c>
      <c r="B33" s="110" t="s">
        <v>124</v>
      </c>
      <c r="C33" s="105" t="e">
        <f>VLOOKUP(Table257519913140106110149[[#This Row],[PEG]],Table1016[#All],2,FALSE)</f>
        <v>#N/A</v>
      </c>
      <c r="D33" s="113"/>
      <c r="E33" s="122" t="e">
        <f>VLOOKUP(Table257519913140106110149[[#This Row],[PEG]],Table1016[#All],3,FALSE)</f>
        <v>#N/A</v>
      </c>
    </row>
    <row r="34" spans="1:5">
      <c r="A34" s="114">
        <v>27</v>
      </c>
      <c r="B34" s="110" t="s">
        <v>115</v>
      </c>
      <c r="C34" s="105" t="e">
        <f>VLOOKUP(Table257519913140106110149[[#This Row],[PEG]],Table1016[#All],2,FALSE)</f>
        <v>#N/A</v>
      </c>
      <c r="D34" s="113"/>
      <c r="E34" s="122" t="e">
        <f>VLOOKUP(Table257519913140106110149[[#This Row],[PEG]],Table1016[#All],3,FALSE)</f>
        <v>#N/A</v>
      </c>
    </row>
    <row r="35" spans="1:5">
      <c r="A35" s="114">
        <v>28</v>
      </c>
      <c r="B35" s="110" t="s">
        <v>124</v>
      </c>
      <c r="C35" s="105" t="e">
        <f>VLOOKUP(Table257519913140106110149[[#This Row],[PEG]],Table1016[#All],2,FALSE)</f>
        <v>#N/A</v>
      </c>
      <c r="D35" s="113"/>
      <c r="E35" s="122" t="e">
        <f>VLOOKUP(Table257519913140106110149[[#This Row],[PEG]],Table1016[#All],3,FALSE)</f>
        <v>#N/A</v>
      </c>
    </row>
    <row r="36" spans="1:5">
      <c r="A36" s="114">
        <v>29</v>
      </c>
      <c r="B36" s="110" t="s">
        <v>115</v>
      </c>
      <c r="C36" s="105" t="e">
        <f>VLOOKUP(Table257519913140106110149[[#This Row],[PEG]],Table1016[#All],2,FALSE)</f>
        <v>#N/A</v>
      </c>
      <c r="D36" s="113"/>
      <c r="E36" s="122" t="e">
        <f>VLOOKUP(Table257519913140106110149[[#This Row],[PEG]],Table1016[#All],3,FALSE)</f>
        <v>#N/A</v>
      </c>
    </row>
    <row r="37" spans="1:5">
      <c r="A37" s="114">
        <v>30</v>
      </c>
      <c r="B37" s="110" t="s">
        <v>12</v>
      </c>
      <c r="C37" s="105" t="e">
        <f>VLOOKUP(Table257519913140106110149[[#This Row],[PEG]],Table1016[#All],2,FALSE)</f>
        <v>#N/A</v>
      </c>
      <c r="D37" s="113"/>
      <c r="E37" s="122" t="e">
        <f>VLOOKUP(Table257519913140106110149[[#This Row],[PEG]],Table1016[#All],3,FALSE)</f>
        <v>#N/A</v>
      </c>
    </row>
    <row r="38" spans="1:5">
      <c r="A38" s="114">
        <v>31</v>
      </c>
      <c r="B38" s="110" t="s">
        <v>12</v>
      </c>
      <c r="C38" s="105" t="e">
        <f>VLOOKUP(Table257519913140106110149[[#This Row],[PEG]],Table1016[#All],2,FALSE)</f>
        <v>#N/A</v>
      </c>
      <c r="D38" s="113"/>
      <c r="E38" s="122" t="e">
        <f>VLOOKUP(Table257519913140106110149[[#This Row],[PEG]],Table1016[#All],3,FALSE)</f>
        <v>#N/A</v>
      </c>
    </row>
    <row r="39" spans="1:5">
      <c r="A39" s="114">
        <v>32</v>
      </c>
      <c r="B39" s="110" t="s">
        <v>12</v>
      </c>
      <c r="C39" s="105" t="e">
        <f>VLOOKUP(Table257519913140106110149[[#This Row],[PEG]],Table1016[#All],2,FALSE)</f>
        <v>#N/A</v>
      </c>
      <c r="D39" s="113"/>
      <c r="E39" s="122" t="e">
        <f>VLOOKUP(Table257519913140106110149[[#This Row],[PEG]],Table1016[#All],3,FALSE)</f>
        <v>#N/A</v>
      </c>
    </row>
    <row r="40" spans="1:5">
      <c r="A40" s="114">
        <v>33</v>
      </c>
      <c r="B40" s="110" t="s">
        <v>12</v>
      </c>
      <c r="C40" s="105" t="e">
        <f>VLOOKUP(Table257519913140106110149[[#This Row],[PEG]],Table1016[#All],2,FALSE)</f>
        <v>#N/A</v>
      </c>
      <c r="D40" s="113"/>
      <c r="E40" s="122" t="e">
        <f>VLOOKUP(Table257519913140106110149[[#This Row],[PEG]],Table1016[#All],3,FALSE)</f>
        <v>#N/A</v>
      </c>
    </row>
    <row r="41" spans="1:5">
      <c r="A41" s="114">
        <v>34</v>
      </c>
      <c r="B41" s="110" t="s">
        <v>115</v>
      </c>
      <c r="C41" s="105" t="e">
        <f>VLOOKUP(Table257519913140106110149[[#This Row],[PEG]],Table1016[#All],2,FALSE)</f>
        <v>#N/A</v>
      </c>
      <c r="D41" s="113"/>
      <c r="E41" s="122" t="e">
        <f>VLOOKUP(Table257519913140106110149[[#This Row],[PEG]],Table1016[#All],3,FALSE)</f>
        <v>#N/A</v>
      </c>
    </row>
    <row r="42" spans="1:5">
      <c r="A42" s="114">
        <v>35</v>
      </c>
      <c r="B42" s="110" t="s">
        <v>12</v>
      </c>
      <c r="C42" s="105" t="e">
        <f>VLOOKUP(Table257519913140106110149[[#This Row],[PEG]],Table1016[#All],2,FALSE)</f>
        <v>#N/A</v>
      </c>
      <c r="D42" s="111"/>
      <c r="E42" s="122" t="e">
        <f>VLOOKUP(Table257519913140106110149[[#This Row],[PEG]],Table1016[#All],3,FALSE)</f>
        <v>#N/A</v>
      </c>
    </row>
    <row r="43" spans="1:5">
      <c r="A43" s="114">
        <v>36</v>
      </c>
      <c r="B43" s="110" t="s">
        <v>115</v>
      </c>
      <c r="C43" s="105" t="e">
        <f>VLOOKUP(Table257519913140106110149[[#This Row],[PEG]],Table1016[#All],2,FALSE)</f>
        <v>#N/A</v>
      </c>
      <c r="D43" s="111"/>
      <c r="E43" s="122" t="e">
        <f>VLOOKUP(Table257519913140106110149[[#This Row],[PEG]],Table1016[#All],3,FALSE)</f>
        <v>#N/A</v>
      </c>
    </row>
    <row r="44" spans="1:5">
      <c r="A44" s="114">
        <v>37</v>
      </c>
      <c r="B44" s="110" t="s">
        <v>13</v>
      </c>
      <c r="C44" s="17" t="s">
        <v>13</v>
      </c>
      <c r="D44" s="111"/>
      <c r="E44" s="31"/>
    </row>
  </sheetData>
  <mergeCells count="1">
    <mergeCell ref="A1:B1"/>
  </mergeCells>
  <conditionalFormatting sqref="B8:B18">
    <cfRule type="containsText" dxfId="2346" priority="1" operator="containsText" text="Hear">
      <formula>NOT(ISERROR(SEARCH("Hear",B8)))</formula>
    </cfRule>
  </conditionalFormatting>
  <conditionalFormatting sqref="B30">
    <cfRule type="containsText" dxfId="2345" priority="4" operator="containsText" text="Hear">
      <formula>NOT(ISERROR(SEARCH("Hear",B30)))</formula>
    </cfRule>
  </conditionalFormatting>
  <conditionalFormatting sqref="B43:B44">
    <cfRule type="containsText" dxfId="2344" priority="8" operator="containsText" text="Hear">
      <formula>NOT(ISERROR(SEARCH("Hear",B43)))</formula>
    </cfRule>
  </conditionalFormatting>
  <conditionalFormatting sqref="E44">
    <cfRule type="containsText" dxfId="2343" priority="6" operator="containsText" text="WEB SERVICE">
      <formula>NOT(ISERROR(SEARCH("WEB SERVICE",E44)))</formula>
    </cfRule>
    <cfRule type="containsText" dxfId="2342" priority="7" operator="containsText" text="DB">
      <formula>NOT(ISERROR(SEARCH("DB",E44)))</formula>
    </cfRule>
  </conditionalFormatting>
  <conditionalFormatting sqref="C44">
    <cfRule type="expression" dxfId="2341" priority="9">
      <formula>$B44="Dial"</formula>
    </cfRule>
    <cfRule type="expression" dxfId="2340" priority="11">
      <formula>$B44="HANGUP"</formula>
    </cfRule>
  </conditionalFormatting>
  <conditionalFormatting sqref="C44">
    <cfRule type="expression" dxfId="2339" priority="10">
      <formula>$B44="Speak"</formula>
    </cfRule>
  </conditionalFormatting>
  <conditionalFormatting sqref="B36:B38 B40:B41">
    <cfRule type="containsText" dxfId="2338" priority="3" operator="containsText" text="Hear">
      <formula>NOT(ISERROR(SEARCH("Hear",B36)))</formula>
    </cfRule>
  </conditionalFormatting>
  <conditionalFormatting sqref="B19:B29 B31:B35 B42">
    <cfRule type="containsText" dxfId="2337" priority="5" operator="containsText" text="Hear">
      <formula>NOT(ISERROR(SEARCH("Hear",B19)))</formula>
    </cfRule>
  </conditionalFormatting>
  <hyperlinks>
    <hyperlink ref="A1" location="'Test Case Overview'!A1" display="Return to Test Case Overview" xr:uid="{00000000-0004-0000-79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2" id="{0D2BB771-7BE0-4263-8EF6-1D38B8D6A9F1}">
            <xm:f>'TC1'!$B8="Speak"</xm:f>
            <x14:dxf>
              <font>
                <b/>
                <i val="0"/>
                <color rgb="FFFF0000"/>
              </font>
            </x14:dxf>
          </x14:cfRule>
          <xm:sqref>C8</xm:sqref>
        </x14:conditionalFormatting>
        <x14:conditionalFormatting xmlns:xm="http://schemas.microsoft.com/office/excel/2006/main">
          <x14:cfRule type="containsText" priority="2" operator="containsText" text="WEB SERVICE" id="{B150BDDB-8B98-420A-81C5-AB4AB006964C}">
            <xm:f>NOT(ISERROR(SEARCH("WEB SERVICE",'TC1'!E10)))</xm:f>
            <x14:dxf>
              <font>
                <color rgb="FF9C0006"/>
              </font>
              <fill>
                <patternFill>
                  <bgColor rgb="FFFFC7CE"/>
                </patternFill>
              </fill>
            </x14:dxf>
          </x14:cfRule>
          <x14:cfRule type="containsText" priority="13" operator="containsText" text="DB" id="{BD2D9D29-FCB9-496E-8077-8180A78B68CB}">
            <xm:f>NOT(ISERROR(SEARCH("DB",'TC1'!E10)))</xm:f>
            <x14:dxf>
              <font>
                <color rgb="FF006100"/>
              </font>
              <fill>
                <patternFill>
                  <bgColor rgb="FFC6EFCE"/>
                </patternFill>
              </fill>
            </x14:dxf>
          </x14:cfRule>
          <xm:sqref>E9:E12</xm:sqref>
        </x14:conditionalFormatting>
        <x14:conditionalFormatting xmlns:xm="http://schemas.microsoft.com/office/excel/2006/main">
          <x14:cfRule type="containsText" priority="15" operator="containsText" text="Hear" id="{A13C4255-F372-4A38-A816-DD974889ADAB}">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6" id="{0B626962-A46A-482B-A4F0-BB4E936435E2}">
            <xm:f>'TC1'!$B8="Dial"</xm:f>
            <x14:dxf>
              <font>
                <b/>
                <i val="0"/>
                <color rgb="FFFF0000"/>
              </font>
            </x14:dxf>
          </x14:cfRule>
          <x14:cfRule type="expression" priority="16" id="{1D454F57-0B80-4C8B-8524-5E774286F3CD}">
            <xm:f>'TC1'!$B8="HANGUP"</xm:f>
            <x14:dxf>
              <font>
                <b/>
                <i val="0"/>
              </font>
            </x14:dxf>
          </x14:cfRule>
          <xm:sqref>C8</xm:sqref>
        </x14:conditionalFormatting>
        <x14:conditionalFormatting xmlns:xm="http://schemas.microsoft.com/office/excel/2006/main">
          <x14:cfRule type="expression" priority="2685" id="{0D2BB771-7BE0-4263-8EF6-1D38B8D6A9F1}">
            <xm:f>'TC1'!$B14="Speak"</xm:f>
            <x14:dxf>
              <font>
                <b/>
                <i val="0"/>
                <color rgb="FFFF0000"/>
              </font>
            </x14:dxf>
          </x14:cfRule>
          <xm:sqref>C34:C43</xm:sqref>
        </x14:conditionalFormatting>
        <x14:conditionalFormatting xmlns:xm="http://schemas.microsoft.com/office/excel/2006/main">
          <x14:cfRule type="expression" priority="2686" id="{0D2BB771-7BE0-4263-8EF6-1D38B8D6A9F1}">
            <xm:f>'TC1'!#REF!="Speak"</xm:f>
            <x14:dxf>
              <font>
                <b/>
                <i val="0"/>
                <color rgb="FFFF0000"/>
              </font>
            </x14:dxf>
          </x14:cfRule>
          <xm:sqref>C13:C33</xm:sqref>
        </x14:conditionalFormatting>
        <x14:conditionalFormatting xmlns:xm="http://schemas.microsoft.com/office/excel/2006/main">
          <x14:cfRule type="containsText" priority="2690" operator="containsText" text="WEB SERVICE" id="{B150BDDB-8B98-420A-81C5-AB4AB006964C}">
            <xm:f>NOT(ISERROR(SEARCH("WEB SERVICE",'TC1'!E14)))</xm:f>
            <x14:dxf>
              <font>
                <color rgb="FF9C0006"/>
              </font>
              <fill>
                <patternFill>
                  <bgColor rgb="FFFFC7CE"/>
                </patternFill>
              </fill>
            </x14:dxf>
          </x14:cfRule>
          <x14:cfRule type="containsText" priority="2691" operator="containsText" text="DB" id="{BD2D9D29-FCB9-496E-8077-8180A78B68CB}">
            <xm:f>NOT(ISERROR(SEARCH("DB",'TC1'!E14)))</xm:f>
            <x14:dxf>
              <font>
                <color rgb="FF006100"/>
              </font>
              <fill>
                <patternFill>
                  <bgColor rgb="FFC6EFCE"/>
                </patternFill>
              </fill>
            </x14:dxf>
          </x14:cfRule>
          <xm:sqref>E34:E43</xm:sqref>
        </x14:conditionalFormatting>
        <x14:conditionalFormatting xmlns:xm="http://schemas.microsoft.com/office/excel/2006/main">
          <x14:cfRule type="containsText" priority="2692" operator="containsText" text="WEB SERVICE" id="{B150BDDB-8B98-420A-81C5-AB4AB006964C}">
            <xm:f>NOT(ISERROR(SEARCH("WEB SERVICE",'TC1'!#REF!)))</xm:f>
            <x14:dxf>
              <font>
                <color rgb="FF9C0006"/>
              </font>
              <fill>
                <patternFill>
                  <bgColor rgb="FFFFC7CE"/>
                </patternFill>
              </fill>
            </x14:dxf>
          </x14:cfRule>
          <x14:cfRule type="containsText" priority="2693" operator="containsText" text="DB" id="{BD2D9D29-FCB9-496E-8077-8180A78B68CB}">
            <xm:f>NOT(ISERROR(SEARCH("DB",'TC1'!#REF!)))</xm:f>
            <x14:dxf>
              <font>
                <color rgb="FF006100"/>
              </font>
              <fill>
                <patternFill>
                  <bgColor rgb="FFC6EFCE"/>
                </patternFill>
              </fill>
            </x14:dxf>
          </x14:cfRule>
          <xm:sqref>E13:E33</xm:sqref>
        </x14:conditionalFormatting>
        <x14:conditionalFormatting xmlns:xm="http://schemas.microsoft.com/office/excel/2006/main">
          <x14:cfRule type="expression" priority="2698" id="{0B626962-A46A-482B-A4F0-BB4E936435E2}">
            <xm:f>'TC1'!$B14="Dial"</xm:f>
            <x14:dxf>
              <font>
                <b/>
                <i val="0"/>
                <color rgb="FFFF0000"/>
              </font>
            </x14:dxf>
          </x14:cfRule>
          <x14:cfRule type="expression" priority="2699" id="{1D454F57-0B80-4C8B-8524-5E774286F3CD}">
            <xm:f>'TC1'!$B14="HANGUP"</xm:f>
            <x14:dxf>
              <font>
                <b/>
                <i val="0"/>
              </font>
            </x14:dxf>
          </x14:cfRule>
          <xm:sqref>C34:C43</xm:sqref>
        </x14:conditionalFormatting>
        <x14:conditionalFormatting xmlns:xm="http://schemas.microsoft.com/office/excel/2006/main">
          <x14:cfRule type="expression" priority="2700" id="{0B626962-A46A-482B-A4F0-BB4E936435E2}">
            <xm:f>'TC1'!#REF!="Dial"</xm:f>
            <x14:dxf>
              <font>
                <b/>
                <i val="0"/>
                <color rgb="FFFF0000"/>
              </font>
            </x14:dxf>
          </x14:cfRule>
          <x14:cfRule type="expression" priority="2701" id="{1D454F57-0B80-4C8B-8524-5E774286F3CD}">
            <xm:f>'TC1'!#REF!="HANGUP"</xm:f>
            <x14:dxf>
              <font>
                <b/>
                <i val="0"/>
              </font>
            </x14:dxf>
          </x14:cfRule>
          <xm:sqref>C13:C33</xm:sqref>
        </x14:conditionalFormatting>
        <x14:conditionalFormatting xmlns:xm="http://schemas.microsoft.com/office/excel/2006/main">
          <x14:cfRule type="expression" priority="4325" id="{0D2BB771-7BE0-4263-8EF6-1D38B8D6A9F1}">
            <xm:f>'TC1'!$B10="Speak"</xm:f>
            <x14:dxf>
              <font>
                <b/>
                <i val="0"/>
                <color rgb="FFFF0000"/>
              </font>
            </x14:dxf>
          </x14:cfRule>
          <xm:sqref>C9:C12</xm:sqref>
        </x14:conditionalFormatting>
        <x14:conditionalFormatting xmlns:xm="http://schemas.microsoft.com/office/excel/2006/main">
          <x14:cfRule type="expression" priority="4330" id="{0B626962-A46A-482B-A4F0-BB4E936435E2}">
            <xm:f>'TC1'!$B10="Dial"</xm:f>
            <x14:dxf>
              <font>
                <b/>
                <i val="0"/>
                <color rgb="FFFF0000"/>
              </font>
            </x14:dxf>
          </x14:cfRule>
          <x14:cfRule type="expression" priority="4331" id="{1D454F57-0B80-4C8B-8524-5E774286F3CD}">
            <xm:f>'TC1'!$B10="HANGUP"</xm:f>
            <x14:dxf>
              <font>
                <b/>
                <i val="0"/>
              </font>
            </x14:dxf>
          </x14:cfRule>
          <xm:sqref>C9:C12</xm:sqref>
        </x14:conditionalFormatting>
        <x14:conditionalFormatting xmlns:xm="http://schemas.microsoft.com/office/excel/2006/main">
          <x14:cfRule type="containsText" priority="6091" operator="containsText" text="Hear" id="{B4D21EA4-F324-4CA8-8968-A77A1078FDA5}">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sheetPr codeName="Sheet124"/>
  <dimension ref="A1:E44"/>
  <sheetViews>
    <sheetView zoomScaleNormal="100" workbookViewId="0">
      <selection sqref="A1:B1"/>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TC122</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VLOOKUP(Table257519913140106110151[[#This Row],[PEG]],Table1016[#All],2,FALSE)</f>
        <v>#N/A</v>
      </c>
      <c r="D9" s="125"/>
      <c r="E9" s="122" t="e">
        <f>VLOOKUP(Table257519913140106110151[[#This Row],[PEG]],Table1016[#All],3,FALSE)</f>
        <v>#N/A</v>
      </c>
    </row>
    <row r="10" spans="1:5">
      <c r="A10" s="114">
        <v>3</v>
      </c>
      <c r="B10" s="110" t="s">
        <v>115</v>
      </c>
      <c r="C10" s="105" t="e">
        <f>VLOOKUP(Table257519913140106110151[[#This Row],[PEG]],Table1016[#All],2,FALSE)</f>
        <v>#N/A</v>
      </c>
      <c r="D10" s="125"/>
      <c r="E10" s="122" t="e">
        <f>VLOOKUP(Table257519913140106110151[[#This Row],[PEG]],Table1016[#All],3,FALSE)</f>
        <v>#N/A</v>
      </c>
    </row>
    <row r="11" spans="1:5">
      <c r="A11" s="114">
        <v>4</v>
      </c>
      <c r="B11" s="110" t="s">
        <v>115</v>
      </c>
      <c r="C11" s="105" t="e">
        <f>VLOOKUP(Table257519913140106110151[[#This Row],[PEG]],Table1016[#All],2,FALSE)</f>
        <v>#N/A</v>
      </c>
      <c r="D11" s="125"/>
      <c r="E11" s="122" t="e">
        <f>VLOOKUP(Table257519913140106110151[[#This Row],[PEG]],Table1016[#All],3,FALSE)</f>
        <v>#N/A</v>
      </c>
    </row>
    <row r="12" spans="1:5">
      <c r="A12" s="114">
        <v>5</v>
      </c>
      <c r="B12" s="110" t="s">
        <v>114</v>
      </c>
      <c r="C12" s="105" t="e">
        <f>VLOOKUP(Table257519913140106110151[[#This Row],[PEG]],Table1016[#All],2,FALSE)</f>
        <v>#N/A</v>
      </c>
      <c r="D12" s="125"/>
      <c r="E12" s="122" t="e">
        <f>VLOOKUP(Table257519913140106110151[[#This Row],[PEG]],Table1016[#All],3,FALSE)</f>
        <v>#N/A</v>
      </c>
    </row>
    <row r="13" spans="1:5">
      <c r="A13" s="114">
        <v>6</v>
      </c>
      <c r="B13" s="110" t="s">
        <v>115</v>
      </c>
      <c r="C13" s="105" t="e">
        <f>VLOOKUP(Table257519913140106110151[[#This Row],[PEG]],Table1016[#All],2,FALSE)</f>
        <v>#N/A</v>
      </c>
      <c r="D13" s="125"/>
      <c r="E13" s="122" t="e">
        <f>VLOOKUP(Table257519913140106110151[[#This Row],[PEG]],Table1016[#All],3,FALSE)</f>
        <v>#N/A</v>
      </c>
    </row>
    <row r="14" spans="1:5">
      <c r="A14" s="114">
        <v>7</v>
      </c>
      <c r="B14" s="110" t="s">
        <v>114</v>
      </c>
      <c r="C14" s="105" t="e">
        <f>VLOOKUP(Table257519913140106110151[[#This Row],[PEG]],Table1016[#All],2,FALSE)</f>
        <v>#N/A</v>
      </c>
      <c r="D14" s="125"/>
      <c r="E14" s="122" t="e">
        <f>VLOOKUP(Table257519913140106110151[[#This Row],[PEG]],Table1016[#All],3,FALSE)</f>
        <v>#N/A</v>
      </c>
    </row>
    <row r="15" spans="1:5">
      <c r="A15" s="114">
        <v>8</v>
      </c>
      <c r="B15" s="110" t="s">
        <v>115</v>
      </c>
      <c r="C15" s="105" t="e">
        <f>VLOOKUP(Table257519913140106110151[[#This Row],[PEG]],Table1016[#All],2,FALSE)</f>
        <v>#N/A</v>
      </c>
      <c r="D15" s="112"/>
      <c r="E15" s="122" t="e">
        <f>VLOOKUP(Table257519913140106110151[[#This Row],[PEG]],Table1016[#All],3,FALSE)</f>
        <v>#N/A</v>
      </c>
    </row>
    <row r="16" spans="1:5">
      <c r="A16" s="114">
        <v>9</v>
      </c>
      <c r="B16" s="110" t="s">
        <v>12</v>
      </c>
      <c r="C16" s="105" t="e">
        <f>VLOOKUP(Table257519913140106110151[[#This Row],[PEG]],Table1016[#All],2,FALSE)</f>
        <v>#N/A</v>
      </c>
      <c r="D16" s="112"/>
      <c r="E16" s="122" t="e">
        <f>VLOOKUP(Table257519913140106110151[[#This Row],[PEG]],Table1016[#All],3,FALSE)</f>
        <v>#N/A</v>
      </c>
    </row>
    <row r="17" spans="1:5">
      <c r="A17" s="114">
        <v>10</v>
      </c>
      <c r="B17" s="110" t="s">
        <v>12</v>
      </c>
      <c r="C17" s="105" t="e">
        <f>VLOOKUP(Table257519913140106110151[[#This Row],[PEG]],Table1016[#All],2,FALSE)</f>
        <v>#N/A</v>
      </c>
      <c r="D17" s="113"/>
      <c r="E17" s="122" t="e">
        <f>VLOOKUP(Table257519913140106110151[[#This Row],[PEG]],Table1016[#All],3,FALSE)</f>
        <v>#N/A</v>
      </c>
    </row>
    <row r="18" spans="1:5">
      <c r="A18" s="114">
        <v>11</v>
      </c>
      <c r="B18" s="110" t="s">
        <v>115</v>
      </c>
      <c r="C18" s="105" t="e">
        <f>VLOOKUP(Table257519913140106110151[[#This Row],[PEG]],Table1016[#All],2,FALSE)</f>
        <v>#N/A</v>
      </c>
      <c r="D18" s="113"/>
      <c r="E18" s="122" t="e">
        <f>VLOOKUP(Table257519913140106110151[[#This Row],[PEG]],Table1016[#All],3,FALSE)</f>
        <v>#N/A</v>
      </c>
    </row>
    <row r="19" spans="1:5">
      <c r="A19" s="114">
        <v>12</v>
      </c>
      <c r="B19" s="110" t="s">
        <v>115</v>
      </c>
      <c r="C19" s="105" t="e">
        <f>VLOOKUP(Table257519913140106110151[[#This Row],[PEG]],Table1016[#All],2,FALSE)</f>
        <v>#N/A</v>
      </c>
      <c r="D19" s="113"/>
      <c r="E19" s="122" t="e">
        <f>VLOOKUP(Table257519913140106110151[[#This Row],[PEG]],Table1016[#All],3,FALSE)</f>
        <v>#N/A</v>
      </c>
    </row>
    <row r="20" spans="1:5">
      <c r="A20" s="114">
        <v>13</v>
      </c>
      <c r="B20" s="110" t="s">
        <v>114</v>
      </c>
      <c r="C20" s="105" t="e">
        <f>VLOOKUP(Table257519913140106110151[[#This Row],[PEG]],Table1016[#All],2,FALSE)</f>
        <v>#N/A</v>
      </c>
      <c r="D20" s="113"/>
      <c r="E20" s="122" t="e">
        <f>VLOOKUP(Table257519913140106110151[[#This Row],[PEG]],Table1016[#All],3,FALSE)</f>
        <v>#N/A</v>
      </c>
    </row>
    <row r="21" spans="1:5">
      <c r="A21" s="114">
        <v>14</v>
      </c>
      <c r="B21" s="110" t="s">
        <v>12</v>
      </c>
      <c r="C21" s="105" t="e">
        <f>VLOOKUP(Table257519913140106110151[[#This Row],[PEG]],Table1016[#All],2,FALSE)</f>
        <v>#N/A</v>
      </c>
      <c r="D21" s="113"/>
      <c r="E21" s="122" t="e">
        <f>VLOOKUP(Table257519913140106110151[[#This Row],[PEG]],Table1016[#All],3,FALSE)</f>
        <v>#N/A</v>
      </c>
    </row>
    <row r="22" spans="1:5">
      <c r="A22" s="114">
        <v>15</v>
      </c>
      <c r="B22" s="110" t="s">
        <v>12</v>
      </c>
      <c r="C22" s="105" t="e">
        <f>VLOOKUP(Table257519913140106110151[[#This Row],[PEG]],Table1016[#All],2,FALSE)</f>
        <v>#N/A</v>
      </c>
      <c r="D22" s="113"/>
      <c r="E22" s="122" t="e">
        <f>VLOOKUP(Table257519913140106110151[[#This Row],[PEG]],Table1016[#All],3,FALSE)</f>
        <v>#N/A</v>
      </c>
    </row>
    <row r="23" spans="1:5">
      <c r="A23" s="114">
        <v>16</v>
      </c>
      <c r="B23" s="110" t="s">
        <v>115</v>
      </c>
      <c r="C23" s="105" t="e">
        <f>VLOOKUP(Table257519913140106110151[[#This Row],[PEG]],Table1016[#All],2,FALSE)</f>
        <v>#N/A</v>
      </c>
      <c r="D23" s="113"/>
      <c r="E23" s="122" t="e">
        <f>VLOOKUP(Table257519913140106110151[[#This Row],[PEG]],Table1016[#All],3,FALSE)</f>
        <v>#N/A</v>
      </c>
    </row>
    <row r="24" spans="1:5">
      <c r="A24" s="114">
        <v>17</v>
      </c>
      <c r="B24" s="110" t="s">
        <v>114</v>
      </c>
      <c r="C24" s="105" t="e">
        <f>VLOOKUP(Table257519913140106110151[[#This Row],[PEG]],Table1016[#All],2,FALSE)</f>
        <v>#N/A</v>
      </c>
      <c r="D24" s="113"/>
      <c r="E24" s="122" t="e">
        <f>VLOOKUP(Table257519913140106110151[[#This Row],[PEG]],Table1016[#All],3,FALSE)</f>
        <v>#N/A</v>
      </c>
    </row>
    <row r="25" spans="1:5">
      <c r="A25" s="114">
        <v>18</v>
      </c>
      <c r="B25" s="110" t="s">
        <v>12</v>
      </c>
      <c r="C25" s="105" t="e">
        <f>VLOOKUP(Table257519913140106110151[[#This Row],[PEG]],Table1016[#All],2,FALSE)</f>
        <v>#N/A</v>
      </c>
      <c r="D25" s="113"/>
      <c r="E25" s="122" t="e">
        <f>VLOOKUP(Table257519913140106110151[[#This Row],[PEG]],Table1016[#All],3,FALSE)</f>
        <v>#N/A</v>
      </c>
    </row>
    <row r="26" spans="1:5">
      <c r="A26" s="114">
        <v>19</v>
      </c>
      <c r="B26" s="110" t="s">
        <v>12</v>
      </c>
      <c r="C26" s="105" t="e">
        <f>VLOOKUP(Table257519913140106110151[[#This Row],[PEG]],Table1016[#All],2,FALSE)</f>
        <v>#N/A</v>
      </c>
      <c r="D26" s="113"/>
      <c r="E26" s="122" t="e">
        <f>VLOOKUP(Table257519913140106110151[[#This Row],[PEG]],Table1016[#All],3,FALSE)</f>
        <v>#N/A</v>
      </c>
    </row>
    <row r="27" spans="1:5">
      <c r="A27" s="114">
        <v>20</v>
      </c>
      <c r="B27" s="110" t="s">
        <v>115</v>
      </c>
      <c r="C27" s="105" t="e">
        <f>VLOOKUP(Table257519913140106110151[[#This Row],[PEG]],Table1016[#All],2,FALSE)</f>
        <v>#N/A</v>
      </c>
      <c r="D27" s="113"/>
      <c r="E27" s="122" t="e">
        <f>VLOOKUP(Table257519913140106110151[[#This Row],[PEG]],Table1016[#All],3,FALSE)</f>
        <v>#N/A</v>
      </c>
    </row>
    <row r="28" spans="1:5">
      <c r="A28" s="114">
        <v>21</v>
      </c>
      <c r="B28" s="110" t="s">
        <v>114</v>
      </c>
      <c r="C28" s="105" t="e">
        <f>VLOOKUP(Table257519913140106110151[[#This Row],[PEG]],Table1016[#All],2,FALSE)</f>
        <v>#N/A</v>
      </c>
      <c r="D28" s="113"/>
      <c r="E28" s="122" t="e">
        <f>VLOOKUP(Table257519913140106110151[[#This Row],[PEG]],Table1016[#All],3,FALSE)</f>
        <v>#N/A</v>
      </c>
    </row>
    <row r="29" spans="1:5">
      <c r="A29" s="114">
        <v>22</v>
      </c>
      <c r="B29" s="110" t="s">
        <v>12</v>
      </c>
      <c r="C29" s="105" t="e">
        <f>VLOOKUP(Table257519913140106110151[[#This Row],[PEG]],Table1016[#All],2,FALSE)</f>
        <v>#N/A</v>
      </c>
      <c r="D29" s="113"/>
      <c r="E29" s="122" t="e">
        <f>VLOOKUP(Table257519913140106110151[[#This Row],[PEG]],Table1016[#All],3,FALSE)</f>
        <v>#N/A</v>
      </c>
    </row>
    <row r="30" spans="1:5">
      <c r="A30" s="114">
        <v>23</v>
      </c>
      <c r="B30" s="110" t="s">
        <v>12</v>
      </c>
      <c r="C30" s="105" t="e">
        <f>VLOOKUP(Table257519913140106110151[[#This Row],[PEG]],Table1016[#All],2,FALSE)</f>
        <v>#N/A</v>
      </c>
      <c r="D30" s="113"/>
      <c r="E30" s="122" t="e">
        <f>VLOOKUP(Table257519913140106110151[[#This Row],[PEG]],Table1016[#All],3,FALSE)</f>
        <v>#N/A</v>
      </c>
    </row>
    <row r="31" spans="1:5">
      <c r="A31" s="114">
        <v>24</v>
      </c>
      <c r="B31" s="110" t="s">
        <v>115</v>
      </c>
      <c r="C31" s="105" t="e">
        <f>VLOOKUP(Table257519913140106110151[[#This Row],[PEG]],Table1016[#All],2,FALSE)</f>
        <v>#N/A</v>
      </c>
      <c r="D31" s="113"/>
      <c r="E31" s="122" t="e">
        <f>VLOOKUP(Table257519913140106110151[[#This Row],[PEG]],Table1016[#All],3,FALSE)</f>
        <v>#N/A</v>
      </c>
    </row>
    <row r="32" spans="1:5">
      <c r="A32" s="114">
        <v>25</v>
      </c>
      <c r="B32" s="110" t="s">
        <v>115</v>
      </c>
      <c r="C32" s="105" t="e">
        <f>VLOOKUP(Table257519913140106110151[[#This Row],[PEG]],Table1016[#All],2,FALSE)</f>
        <v>#N/A</v>
      </c>
      <c r="D32" s="113"/>
      <c r="E32" s="122" t="e">
        <f>VLOOKUP(Table257519913140106110151[[#This Row],[PEG]],Table1016[#All],3,FALSE)</f>
        <v>#N/A</v>
      </c>
    </row>
    <row r="33" spans="1:5">
      <c r="A33" s="114">
        <v>26</v>
      </c>
      <c r="B33" s="110" t="s">
        <v>124</v>
      </c>
      <c r="C33" s="105" t="e">
        <f>VLOOKUP(Table257519913140106110151[[#This Row],[PEG]],Table1016[#All],2,FALSE)</f>
        <v>#N/A</v>
      </c>
      <c r="D33" s="113"/>
      <c r="E33" s="122" t="e">
        <f>VLOOKUP(Table257519913140106110151[[#This Row],[PEG]],Table1016[#All],3,FALSE)</f>
        <v>#N/A</v>
      </c>
    </row>
    <row r="34" spans="1:5">
      <c r="A34" s="114">
        <v>27</v>
      </c>
      <c r="B34" s="110" t="s">
        <v>115</v>
      </c>
      <c r="C34" s="105" t="e">
        <f>VLOOKUP(Table257519913140106110151[[#This Row],[PEG]],Table1016[#All],2,FALSE)</f>
        <v>#N/A</v>
      </c>
      <c r="D34" s="113"/>
      <c r="E34" s="122" t="e">
        <f>VLOOKUP(Table257519913140106110151[[#This Row],[PEG]],Table1016[#All],3,FALSE)</f>
        <v>#N/A</v>
      </c>
    </row>
    <row r="35" spans="1:5">
      <c r="A35" s="114">
        <v>28</v>
      </c>
      <c r="B35" s="110" t="s">
        <v>124</v>
      </c>
      <c r="C35" s="105" t="e">
        <f>VLOOKUP(Table257519913140106110151[[#This Row],[PEG]],Table1016[#All],2,FALSE)</f>
        <v>#N/A</v>
      </c>
      <c r="D35" s="113"/>
      <c r="E35" s="122" t="e">
        <f>VLOOKUP(Table257519913140106110151[[#This Row],[PEG]],Table1016[#All],3,FALSE)</f>
        <v>#N/A</v>
      </c>
    </row>
    <row r="36" spans="1:5">
      <c r="A36" s="114">
        <v>29</v>
      </c>
      <c r="B36" s="110" t="s">
        <v>115</v>
      </c>
      <c r="C36" s="105" t="e">
        <f>VLOOKUP(Table257519913140106110151[[#This Row],[PEG]],Table1016[#All],2,FALSE)</f>
        <v>#N/A</v>
      </c>
      <c r="D36" s="113"/>
      <c r="E36" s="122" t="e">
        <f>VLOOKUP(Table257519913140106110151[[#This Row],[PEG]],Table1016[#All],3,FALSE)</f>
        <v>#N/A</v>
      </c>
    </row>
    <row r="37" spans="1:5">
      <c r="A37" s="114">
        <v>30</v>
      </c>
      <c r="B37" s="110" t="s">
        <v>12</v>
      </c>
      <c r="C37" s="105" t="e">
        <f>VLOOKUP(Table257519913140106110151[[#This Row],[PEG]],Table1016[#All],2,FALSE)</f>
        <v>#N/A</v>
      </c>
      <c r="D37" s="113"/>
      <c r="E37" s="122" t="e">
        <f>VLOOKUP(Table257519913140106110151[[#This Row],[PEG]],Table1016[#All],3,FALSE)</f>
        <v>#N/A</v>
      </c>
    </row>
    <row r="38" spans="1:5">
      <c r="A38" s="114">
        <v>31</v>
      </c>
      <c r="B38" s="110" t="s">
        <v>12</v>
      </c>
      <c r="C38" s="105" t="e">
        <f>VLOOKUP(Table257519913140106110151[[#This Row],[PEG]],Table1016[#All],2,FALSE)</f>
        <v>#N/A</v>
      </c>
      <c r="D38" s="113"/>
      <c r="E38" s="122" t="e">
        <f>VLOOKUP(Table257519913140106110151[[#This Row],[PEG]],Table1016[#All],3,FALSE)</f>
        <v>#N/A</v>
      </c>
    </row>
    <row r="39" spans="1:5">
      <c r="A39" s="114">
        <v>32</v>
      </c>
      <c r="B39" s="110" t="s">
        <v>12</v>
      </c>
      <c r="C39" s="105" t="e">
        <f>VLOOKUP(Table257519913140106110151[[#This Row],[PEG]],Table1016[#All],2,FALSE)</f>
        <v>#N/A</v>
      </c>
      <c r="D39" s="113"/>
      <c r="E39" s="122" t="e">
        <f>VLOOKUP(Table257519913140106110151[[#This Row],[PEG]],Table1016[#All],3,FALSE)</f>
        <v>#N/A</v>
      </c>
    </row>
    <row r="40" spans="1:5">
      <c r="A40" s="114">
        <v>33</v>
      </c>
      <c r="B40" s="110" t="s">
        <v>12</v>
      </c>
      <c r="C40" s="105" t="e">
        <f>VLOOKUP(Table257519913140106110151[[#This Row],[PEG]],Table1016[#All],2,FALSE)</f>
        <v>#N/A</v>
      </c>
      <c r="D40" s="113"/>
      <c r="E40" s="122" t="e">
        <f>VLOOKUP(Table257519913140106110151[[#This Row],[PEG]],Table1016[#All],3,FALSE)</f>
        <v>#N/A</v>
      </c>
    </row>
    <row r="41" spans="1:5">
      <c r="A41" s="114">
        <v>34</v>
      </c>
      <c r="B41" s="110" t="s">
        <v>115</v>
      </c>
      <c r="C41" s="105" t="e">
        <f>VLOOKUP(Table257519913140106110151[[#This Row],[PEG]],Table1016[#All],2,FALSE)</f>
        <v>#N/A</v>
      </c>
      <c r="D41" s="113"/>
      <c r="E41" s="122" t="e">
        <f>VLOOKUP(Table257519913140106110151[[#This Row],[PEG]],Table1016[#All],3,FALSE)</f>
        <v>#N/A</v>
      </c>
    </row>
    <row r="42" spans="1:5">
      <c r="A42" s="114">
        <v>35</v>
      </c>
      <c r="B42" s="110" t="s">
        <v>12</v>
      </c>
      <c r="C42" s="105" t="e">
        <f>VLOOKUP(Table257519913140106110151[[#This Row],[PEG]],Table1016[#All],2,FALSE)</f>
        <v>#N/A</v>
      </c>
      <c r="D42" s="111"/>
      <c r="E42" s="122" t="e">
        <f>VLOOKUP(Table257519913140106110151[[#This Row],[PEG]],Table1016[#All],3,FALSE)</f>
        <v>#N/A</v>
      </c>
    </row>
    <row r="43" spans="1:5">
      <c r="A43" s="114">
        <v>36</v>
      </c>
      <c r="B43" s="110" t="s">
        <v>115</v>
      </c>
      <c r="C43" s="105" t="e">
        <f>VLOOKUP(Table257519913140106110151[[#This Row],[PEG]],Table1016[#All],2,FALSE)</f>
        <v>#N/A</v>
      </c>
      <c r="D43" s="111"/>
      <c r="E43" s="122" t="e">
        <f>VLOOKUP(Table257519913140106110151[[#This Row],[PEG]],Table1016[#All],3,FALSE)</f>
        <v>#N/A</v>
      </c>
    </row>
    <row r="44" spans="1:5">
      <c r="A44" s="114">
        <v>37</v>
      </c>
      <c r="B44" s="110" t="s">
        <v>13</v>
      </c>
      <c r="C44" s="17" t="s">
        <v>13</v>
      </c>
      <c r="D44" s="111"/>
      <c r="E44" s="31"/>
    </row>
  </sheetData>
  <mergeCells count="1">
    <mergeCell ref="A1:B1"/>
  </mergeCells>
  <conditionalFormatting sqref="B8:B18">
    <cfRule type="containsText" dxfId="2307" priority="1" operator="containsText" text="Hear">
      <formula>NOT(ISERROR(SEARCH("Hear",B8)))</formula>
    </cfRule>
  </conditionalFormatting>
  <conditionalFormatting sqref="B30">
    <cfRule type="containsText" dxfId="2306" priority="4" operator="containsText" text="Hear">
      <formula>NOT(ISERROR(SEARCH("Hear",B30)))</formula>
    </cfRule>
  </conditionalFormatting>
  <conditionalFormatting sqref="B43:B44">
    <cfRule type="containsText" dxfId="2305" priority="8" operator="containsText" text="Hear">
      <formula>NOT(ISERROR(SEARCH("Hear",B43)))</formula>
    </cfRule>
  </conditionalFormatting>
  <conditionalFormatting sqref="E44">
    <cfRule type="containsText" dxfId="2304" priority="6" operator="containsText" text="WEB SERVICE">
      <formula>NOT(ISERROR(SEARCH("WEB SERVICE",E44)))</formula>
    </cfRule>
    <cfRule type="containsText" dxfId="2303" priority="7" operator="containsText" text="DB">
      <formula>NOT(ISERROR(SEARCH("DB",E44)))</formula>
    </cfRule>
  </conditionalFormatting>
  <conditionalFormatting sqref="C44">
    <cfRule type="expression" dxfId="2302" priority="9">
      <formula>$B44="Dial"</formula>
    </cfRule>
    <cfRule type="expression" dxfId="2301" priority="11">
      <formula>$B44="HANGUP"</formula>
    </cfRule>
  </conditionalFormatting>
  <conditionalFormatting sqref="C44">
    <cfRule type="expression" dxfId="2300" priority="10">
      <formula>$B44="Speak"</formula>
    </cfRule>
  </conditionalFormatting>
  <conditionalFormatting sqref="B36:B38 B40:B41">
    <cfRule type="containsText" dxfId="2299" priority="3" operator="containsText" text="Hear">
      <formula>NOT(ISERROR(SEARCH("Hear",B36)))</formula>
    </cfRule>
  </conditionalFormatting>
  <conditionalFormatting sqref="B19:B29 B31:B35 B42">
    <cfRule type="containsText" dxfId="2298" priority="5" operator="containsText" text="Hear">
      <formula>NOT(ISERROR(SEARCH("Hear",B19)))</formula>
    </cfRule>
  </conditionalFormatting>
  <hyperlinks>
    <hyperlink ref="A1" location="'Test Case Overview'!A1" display="Return to Test Case Overview" xr:uid="{00000000-0004-0000-7A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2" id="{BE1701B2-D98C-470B-B8AD-7FAE4910D26D}">
            <xm:f>'TC1'!$B8="Speak"</xm:f>
            <x14:dxf>
              <font>
                <b/>
                <i val="0"/>
                <color rgb="FFFF0000"/>
              </font>
            </x14:dxf>
          </x14:cfRule>
          <xm:sqref>C8</xm:sqref>
        </x14:conditionalFormatting>
        <x14:conditionalFormatting xmlns:xm="http://schemas.microsoft.com/office/excel/2006/main">
          <x14:cfRule type="containsText" priority="2" operator="containsText" text="WEB SERVICE" id="{4D3563A4-C889-4EA3-8457-3FA1EBB1DB93}">
            <xm:f>NOT(ISERROR(SEARCH("WEB SERVICE",'TC1'!E10)))</xm:f>
            <x14:dxf>
              <font>
                <color rgb="FF9C0006"/>
              </font>
              <fill>
                <patternFill>
                  <bgColor rgb="FFFFC7CE"/>
                </patternFill>
              </fill>
            </x14:dxf>
          </x14:cfRule>
          <x14:cfRule type="containsText" priority="13" operator="containsText" text="DB" id="{13C23D49-50F8-40BF-9FA6-0DB9ADAC53AB}">
            <xm:f>NOT(ISERROR(SEARCH("DB",'TC1'!E10)))</xm:f>
            <x14:dxf>
              <font>
                <color rgb="FF006100"/>
              </font>
              <fill>
                <patternFill>
                  <bgColor rgb="FFC6EFCE"/>
                </patternFill>
              </fill>
            </x14:dxf>
          </x14:cfRule>
          <xm:sqref>E9:E12</xm:sqref>
        </x14:conditionalFormatting>
        <x14:conditionalFormatting xmlns:xm="http://schemas.microsoft.com/office/excel/2006/main">
          <x14:cfRule type="containsText" priority="15" operator="containsText" text="Hear" id="{8C187051-989E-46B0-977F-A58B704894FC}">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6" id="{E20455EF-CB34-4215-90F6-50613FC15E63}">
            <xm:f>'TC1'!$B8="Dial"</xm:f>
            <x14:dxf>
              <font>
                <b/>
                <i val="0"/>
                <color rgb="FFFF0000"/>
              </font>
            </x14:dxf>
          </x14:cfRule>
          <x14:cfRule type="expression" priority="16" id="{DD8363F2-9011-456A-8D20-74E61BE088D2}">
            <xm:f>'TC1'!$B8="HANGUP"</xm:f>
            <x14:dxf>
              <font>
                <b/>
                <i val="0"/>
              </font>
            </x14:dxf>
          </x14:cfRule>
          <xm:sqref>C8</xm:sqref>
        </x14:conditionalFormatting>
        <x14:conditionalFormatting xmlns:xm="http://schemas.microsoft.com/office/excel/2006/main">
          <x14:cfRule type="expression" priority="2705" id="{BE1701B2-D98C-470B-B8AD-7FAE4910D26D}">
            <xm:f>'TC1'!$B14="Speak"</xm:f>
            <x14:dxf>
              <font>
                <b/>
                <i val="0"/>
                <color rgb="FFFF0000"/>
              </font>
            </x14:dxf>
          </x14:cfRule>
          <xm:sqref>C34:C43</xm:sqref>
        </x14:conditionalFormatting>
        <x14:conditionalFormatting xmlns:xm="http://schemas.microsoft.com/office/excel/2006/main">
          <x14:cfRule type="expression" priority="2706" id="{BE1701B2-D98C-470B-B8AD-7FAE4910D26D}">
            <xm:f>'TC1'!#REF!="Speak"</xm:f>
            <x14:dxf>
              <font>
                <b/>
                <i val="0"/>
                <color rgb="FFFF0000"/>
              </font>
            </x14:dxf>
          </x14:cfRule>
          <xm:sqref>C13:C33</xm:sqref>
        </x14:conditionalFormatting>
        <x14:conditionalFormatting xmlns:xm="http://schemas.microsoft.com/office/excel/2006/main">
          <x14:cfRule type="containsText" priority="2710" operator="containsText" text="WEB SERVICE" id="{4D3563A4-C889-4EA3-8457-3FA1EBB1DB93}">
            <xm:f>NOT(ISERROR(SEARCH("WEB SERVICE",'TC1'!E14)))</xm:f>
            <x14:dxf>
              <font>
                <color rgb="FF9C0006"/>
              </font>
              <fill>
                <patternFill>
                  <bgColor rgb="FFFFC7CE"/>
                </patternFill>
              </fill>
            </x14:dxf>
          </x14:cfRule>
          <x14:cfRule type="containsText" priority="2711" operator="containsText" text="DB" id="{13C23D49-50F8-40BF-9FA6-0DB9ADAC53AB}">
            <xm:f>NOT(ISERROR(SEARCH("DB",'TC1'!E14)))</xm:f>
            <x14:dxf>
              <font>
                <color rgb="FF006100"/>
              </font>
              <fill>
                <patternFill>
                  <bgColor rgb="FFC6EFCE"/>
                </patternFill>
              </fill>
            </x14:dxf>
          </x14:cfRule>
          <xm:sqref>E34:E43</xm:sqref>
        </x14:conditionalFormatting>
        <x14:conditionalFormatting xmlns:xm="http://schemas.microsoft.com/office/excel/2006/main">
          <x14:cfRule type="containsText" priority="2712" operator="containsText" text="WEB SERVICE" id="{4D3563A4-C889-4EA3-8457-3FA1EBB1DB93}">
            <xm:f>NOT(ISERROR(SEARCH("WEB SERVICE",'TC1'!#REF!)))</xm:f>
            <x14:dxf>
              <font>
                <color rgb="FF9C0006"/>
              </font>
              <fill>
                <patternFill>
                  <bgColor rgb="FFFFC7CE"/>
                </patternFill>
              </fill>
            </x14:dxf>
          </x14:cfRule>
          <x14:cfRule type="containsText" priority="2713" operator="containsText" text="DB" id="{13C23D49-50F8-40BF-9FA6-0DB9ADAC53AB}">
            <xm:f>NOT(ISERROR(SEARCH("DB",'TC1'!#REF!)))</xm:f>
            <x14:dxf>
              <font>
                <color rgb="FF006100"/>
              </font>
              <fill>
                <patternFill>
                  <bgColor rgb="FFC6EFCE"/>
                </patternFill>
              </fill>
            </x14:dxf>
          </x14:cfRule>
          <xm:sqref>E13:E33</xm:sqref>
        </x14:conditionalFormatting>
        <x14:conditionalFormatting xmlns:xm="http://schemas.microsoft.com/office/excel/2006/main">
          <x14:cfRule type="expression" priority="2718" id="{E20455EF-CB34-4215-90F6-50613FC15E63}">
            <xm:f>'TC1'!$B14="Dial"</xm:f>
            <x14:dxf>
              <font>
                <b/>
                <i val="0"/>
                <color rgb="FFFF0000"/>
              </font>
            </x14:dxf>
          </x14:cfRule>
          <x14:cfRule type="expression" priority="2719" id="{DD8363F2-9011-456A-8D20-74E61BE088D2}">
            <xm:f>'TC1'!$B14="HANGUP"</xm:f>
            <x14:dxf>
              <font>
                <b/>
                <i val="0"/>
              </font>
            </x14:dxf>
          </x14:cfRule>
          <xm:sqref>C34:C43</xm:sqref>
        </x14:conditionalFormatting>
        <x14:conditionalFormatting xmlns:xm="http://schemas.microsoft.com/office/excel/2006/main">
          <x14:cfRule type="expression" priority="2720" id="{E20455EF-CB34-4215-90F6-50613FC15E63}">
            <xm:f>'TC1'!#REF!="Dial"</xm:f>
            <x14:dxf>
              <font>
                <b/>
                <i val="0"/>
                <color rgb="FFFF0000"/>
              </font>
            </x14:dxf>
          </x14:cfRule>
          <x14:cfRule type="expression" priority="2721" id="{DD8363F2-9011-456A-8D20-74E61BE088D2}">
            <xm:f>'TC1'!#REF!="HANGUP"</xm:f>
            <x14:dxf>
              <font>
                <b/>
                <i val="0"/>
              </font>
            </x14:dxf>
          </x14:cfRule>
          <xm:sqref>C13:C33</xm:sqref>
        </x14:conditionalFormatting>
        <x14:conditionalFormatting xmlns:xm="http://schemas.microsoft.com/office/excel/2006/main">
          <x14:cfRule type="expression" priority="4333" id="{BE1701B2-D98C-470B-B8AD-7FAE4910D26D}">
            <xm:f>'TC1'!$B10="Speak"</xm:f>
            <x14:dxf>
              <font>
                <b/>
                <i val="0"/>
                <color rgb="FFFF0000"/>
              </font>
            </x14:dxf>
          </x14:cfRule>
          <xm:sqref>C9:C12</xm:sqref>
        </x14:conditionalFormatting>
        <x14:conditionalFormatting xmlns:xm="http://schemas.microsoft.com/office/excel/2006/main">
          <x14:cfRule type="expression" priority="4338" id="{E20455EF-CB34-4215-90F6-50613FC15E63}">
            <xm:f>'TC1'!$B10="Dial"</xm:f>
            <x14:dxf>
              <font>
                <b/>
                <i val="0"/>
                <color rgb="FFFF0000"/>
              </font>
            </x14:dxf>
          </x14:cfRule>
          <x14:cfRule type="expression" priority="4339" id="{DD8363F2-9011-456A-8D20-74E61BE088D2}">
            <xm:f>'TC1'!$B10="HANGUP"</xm:f>
            <x14:dxf>
              <font>
                <b/>
                <i val="0"/>
              </font>
            </x14:dxf>
          </x14:cfRule>
          <xm:sqref>C9:C12</xm:sqref>
        </x14:conditionalFormatting>
        <x14:conditionalFormatting xmlns:xm="http://schemas.microsoft.com/office/excel/2006/main">
          <x14:cfRule type="containsText" priority="6106" operator="containsText" text="Hear" id="{63F64EE6-9E7F-44B3-81DB-8050E84472F9}">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sheetPr codeName="Sheet125"/>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TC123</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VLOOKUP(Table257519913140106110151153[[#This Row],[PEG]],Table1016[#All],2,FALSE)</f>
        <v>#N/A</v>
      </c>
      <c r="D9" s="125"/>
      <c r="E9" s="122" t="e">
        <f>VLOOKUP(Table257519913140106110151153[[#This Row],[PEG]],Table1016[#All],3,FALSE)</f>
        <v>#N/A</v>
      </c>
    </row>
    <row r="10" spans="1:5">
      <c r="A10" s="114">
        <v>3</v>
      </c>
      <c r="B10" s="110" t="s">
        <v>115</v>
      </c>
      <c r="C10" s="105" t="e">
        <f>VLOOKUP(Table257519913140106110151153[[#This Row],[PEG]],Table1016[#All],2,FALSE)</f>
        <v>#N/A</v>
      </c>
      <c r="D10" s="125"/>
      <c r="E10" s="122" t="e">
        <f>VLOOKUP(Table257519913140106110151153[[#This Row],[PEG]],Table1016[#All],3,FALSE)</f>
        <v>#N/A</v>
      </c>
    </row>
    <row r="11" spans="1:5">
      <c r="A11" s="114">
        <v>4</v>
      </c>
      <c r="B11" s="110" t="s">
        <v>115</v>
      </c>
      <c r="C11" s="105" t="e">
        <f>VLOOKUP(Table257519913140106110151153[[#This Row],[PEG]],Table1016[#All],2,FALSE)</f>
        <v>#N/A</v>
      </c>
      <c r="D11" s="125"/>
      <c r="E11" s="122" t="e">
        <f>VLOOKUP(Table257519913140106110151153[[#This Row],[PEG]],Table1016[#All],3,FALSE)</f>
        <v>#N/A</v>
      </c>
    </row>
    <row r="12" spans="1:5">
      <c r="A12" s="114">
        <v>5</v>
      </c>
      <c r="B12" s="110" t="s">
        <v>114</v>
      </c>
      <c r="C12" s="105" t="e">
        <f>VLOOKUP(Table257519913140106110151153[[#This Row],[PEG]],Table1016[#All],2,FALSE)</f>
        <v>#N/A</v>
      </c>
      <c r="D12" s="125"/>
      <c r="E12" s="122" t="e">
        <f>VLOOKUP(Table257519913140106110151153[[#This Row],[PEG]],Table1016[#All],3,FALSE)</f>
        <v>#N/A</v>
      </c>
    </row>
    <row r="13" spans="1:5">
      <c r="A13" s="114">
        <v>6</v>
      </c>
      <c r="B13" s="110" t="s">
        <v>115</v>
      </c>
      <c r="C13" s="105" t="e">
        <f>VLOOKUP(Table257519913140106110151153[[#This Row],[PEG]],Table1016[#All],2,FALSE)</f>
        <v>#N/A</v>
      </c>
      <c r="D13" s="125"/>
      <c r="E13" s="122" t="e">
        <f>VLOOKUP(Table257519913140106110151153[[#This Row],[PEG]],Table1016[#All],3,FALSE)</f>
        <v>#N/A</v>
      </c>
    </row>
    <row r="14" spans="1:5">
      <c r="A14" s="114">
        <v>7</v>
      </c>
      <c r="B14" s="110" t="s">
        <v>114</v>
      </c>
      <c r="C14" s="105" t="e">
        <f>VLOOKUP(Table257519913140106110151153[[#This Row],[PEG]],Table1016[#All],2,FALSE)</f>
        <v>#N/A</v>
      </c>
      <c r="D14" s="125"/>
      <c r="E14" s="122" t="e">
        <f>VLOOKUP(Table257519913140106110151153[[#This Row],[PEG]],Table1016[#All],3,FALSE)</f>
        <v>#N/A</v>
      </c>
    </row>
    <row r="15" spans="1:5">
      <c r="A15" s="114">
        <v>8</v>
      </c>
      <c r="B15" s="110" t="s">
        <v>115</v>
      </c>
      <c r="C15" s="105" t="e">
        <f>VLOOKUP(Table257519913140106110151153[[#This Row],[PEG]],Table1016[#All],2,FALSE)</f>
        <v>#N/A</v>
      </c>
      <c r="D15" s="112"/>
      <c r="E15" s="122" t="e">
        <f>VLOOKUP(Table257519913140106110151153[[#This Row],[PEG]],Table1016[#All],3,FALSE)</f>
        <v>#N/A</v>
      </c>
    </row>
    <row r="16" spans="1:5">
      <c r="A16" s="114">
        <v>9</v>
      </c>
      <c r="B16" s="110" t="s">
        <v>12</v>
      </c>
      <c r="C16" s="105" t="e">
        <f>VLOOKUP(Table257519913140106110151153[[#This Row],[PEG]],Table1016[#All],2,FALSE)</f>
        <v>#N/A</v>
      </c>
      <c r="D16" s="112"/>
      <c r="E16" s="122" t="e">
        <f>VLOOKUP(Table257519913140106110151153[[#This Row],[PEG]],Table1016[#All],3,FALSE)</f>
        <v>#N/A</v>
      </c>
    </row>
    <row r="17" spans="1:5">
      <c r="A17" s="114">
        <v>10</v>
      </c>
      <c r="B17" s="110" t="s">
        <v>12</v>
      </c>
      <c r="C17" s="105" t="e">
        <f>VLOOKUP(Table257519913140106110151153[[#This Row],[PEG]],Table1016[#All],2,FALSE)</f>
        <v>#N/A</v>
      </c>
      <c r="D17" s="113"/>
      <c r="E17" s="122" t="e">
        <f>VLOOKUP(Table257519913140106110151153[[#This Row],[PEG]],Table1016[#All],3,FALSE)</f>
        <v>#N/A</v>
      </c>
    </row>
    <row r="18" spans="1:5">
      <c r="A18" s="114">
        <v>11</v>
      </c>
      <c r="B18" s="110" t="s">
        <v>115</v>
      </c>
      <c r="C18" s="105" t="e">
        <f>VLOOKUP(Table257519913140106110151153[[#This Row],[PEG]],Table1016[#All],2,FALSE)</f>
        <v>#N/A</v>
      </c>
      <c r="D18" s="113"/>
      <c r="E18" s="122" t="e">
        <f>VLOOKUP(Table257519913140106110151153[[#This Row],[PEG]],Table1016[#All],3,FALSE)</f>
        <v>#N/A</v>
      </c>
    </row>
    <row r="19" spans="1:5">
      <c r="A19" s="114">
        <v>12</v>
      </c>
      <c r="B19" s="110" t="s">
        <v>115</v>
      </c>
      <c r="C19" s="105" t="e">
        <f>VLOOKUP(Table257519913140106110151153[[#This Row],[PEG]],Table1016[#All],2,FALSE)</f>
        <v>#N/A</v>
      </c>
      <c r="D19" s="113"/>
      <c r="E19" s="122" t="e">
        <f>VLOOKUP(Table257519913140106110151153[[#This Row],[PEG]],Table1016[#All],3,FALSE)</f>
        <v>#N/A</v>
      </c>
    </row>
    <row r="20" spans="1:5">
      <c r="A20" s="114">
        <v>13</v>
      </c>
      <c r="B20" s="110" t="s">
        <v>114</v>
      </c>
      <c r="C20" s="105" t="e">
        <f>VLOOKUP(Table257519913140106110151153[[#This Row],[PEG]],Table1016[#All],2,FALSE)</f>
        <v>#N/A</v>
      </c>
      <c r="D20" s="113"/>
      <c r="E20" s="122" t="e">
        <f>VLOOKUP(Table257519913140106110151153[[#This Row],[PEG]],Table1016[#All],3,FALSE)</f>
        <v>#N/A</v>
      </c>
    </row>
    <row r="21" spans="1:5">
      <c r="A21" s="114">
        <v>14</v>
      </c>
      <c r="B21" s="110" t="s">
        <v>12</v>
      </c>
      <c r="C21" s="105" t="e">
        <f>VLOOKUP(Table257519913140106110151153[[#This Row],[PEG]],Table1016[#All],2,FALSE)</f>
        <v>#N/A</v>
      </c>
      <c r="D21" s="113"/>
      <c r="E21" s="122" t="e">
        <f>VLOOKUP(Table257519913140106110151153[[#This Row],[PEG]],Table1016[#All],3,FALSE)</f>
        <v>#N/A</v>
      </c>
    </row>
    <row r="22" spans="1:5">
      <c r="A22" s="114">
        <v>15</v>
      </c>
      <c r="B22" s="110" t="s">
        <v>12</v>
      </c>
      <c r="C22" s="105" t="e">
        <f>VLOOKUP(Table257519913140106110151153[[#This Row],[PEG]],Table1016[#All],2,FALSE)</f>
        <v>#N/A</v>
      </c>
      <c r="D22" s="113"/>
      <c r="E22" s="122" t="e">
        <f>VLOOKUP(Table257519913140106110151153[[#This Row],[PEG]],Table1016[#All],3,FALSE)</f>
        <v>#N/A</v>
      </c>
    </row>
    <row r="23" spans="1:5">
      <c r="A23" s="114">
        <v>16</v>
      </c>
      <c r="B23" s="110" t="s">
        <v>115</v>
      </c>
      <c r="C23" s="105" t="e">
        <f>VLOOKUP(Table257519913140106110151153[[#This Row],[PEG]],Table1016[#All],2,FALSE)</f>
        <v>#N/A</v>
      </c>
      <c r="D23" s="113"/>
      <c r="E23" s="122" t="e">
        <f>VLOOKUP(Table257519913140106110151153[[#This Row],[PEG]],Table1016[#All],3,FALSE)</f>
        <v>#N/A</v>
      </c>
    </row>
    <row r="24" spans="1:5">
      <c r="A24" s="114">
        <v>17</v>
      </c>
      <c r="B24" s="110" t="s">
        <v>114</v>
      </c>
      <c r="C24" s="105" t="e">
        <f>VLOOKUP(Table257519913140106110151153[[#This Row],[PEG]],Table1016[#All],2,FALSE)</f>
        <v>#N/A</v>
      </c>
      <c r="D24" s="113"/>
      <c r="E24" s="122" t="e">
        <f>VLOOKUP(Table257519913140106110151153[[#This Row],[PEG]],Table1016[#All],3,FALSE)</f>
        <v>#N/A</v>
      </c>
    </row>
    <row r="25" spans="1:5">
      <c r="A25" s="114">
        <v>18</v>
      </c>
      <c r="B25" s="110" t="s">
        <v>12</v>
      </c>
      <c r="C25" s="105" t="e">
        <f>VLOOKUP(Table257519913140106110151153[[#This Row],[PEG]],Table1016[#All],2,FALSE)</f>
        <v>#N/A</v>
      </c>
      <c r="D25" s="113"/>
      <c r="E25" s="122" t="e">
        <f>VLOOKUP(Table257519913140106110151153[[#This Row],[PEG]],Table1016[#All],3,FALSE)</f>
        <v>#N/A</v>
      </c>
    </row>
    <row r="26" spans="1:5">
      <c r="A26" s="114">
        <v>19</v>
      </c>
      <c r="B26" s="110" t="s">
        <v>12</v>
      </c>
      <c r="C26" s="105" t="e">
        <f>VLOOKUP(Table257519913140106110151153[[#This Row],[PEG]],Table1016[#All],2,FALSE)</f>
        <v>#N/A</v>
      </c>
      <c r="D26" s="113"/>
      <c r="E26" s="122" t="e">
        <f>VLOOKUP(Table257519913140106110151153[[#This Row],[PEG]],Table1016[#All],3,FALSE)</f>
        <v>#N/A</v>
      </c>
    </row>
    <row r="27" spans="1:5">
      <c r="A27" s="114">
        <v>20</v>
      </c>
      <c r="B27" s="110" t="s">
        <v>115</v>
      </c>
      <c r="C27" s="105" t="e">
        <f>VLOOKUP(Table257519913140106110151153[[#This Row],[PEG]],Table1016[#All],2,FALSE)</f>
        <v>#N/A</v>
      </c>
      <c r="D27" s="113"/>
      <c r="E27" s="122" t="e">
        <f>VLOOKUP(Table257519913140106110151153[[#This Row],[PEG]],Table1016[#All],3,FALSE)</f>
        <v>#N/A</v>
      </c>
    </row>
    <row r="28" spans="1:5">
      <c r="A28" s="114">
        <v>21</v>
      </c>
      <c r="B28" s="110" t="s">
        <v>114</v>
      </c>
      <c r="C28" s="105" t="e">
        <f>VLOOKUP(Table257519913140106110151153[[#This Row],[PEG]],Table1016[#All],2,FALSE)</f>
        <v>#N/A</v>
      </c>
      <c r="D28" s="113"/>
      <c r="E28" s="122" t="e">
        <f>VLOOKUP(Table257519913140106110151153[[#This Row],[PEG]],Table1016[#All],3,FALSE)</f>
        <v>#N/A</v>
      </c>
    </row>
    <row r="29" spans="1:5">
      <c r="A29" s="114">
        <v>22</v>
      </c>
      <c r="B29" s="110" t="s">
        <v>12</v>
      </c>
      <c r="C29" s="105" t="e">
        <f>VLOOKUP(Table257519913140106110151153[[#This Row],[PEG]],Table1016[#All],2,FALSE)</f>
        <v>#N/A</v>
      </c>
      <c r="D29" s="113"/>
      <c r="E29" s="122" t="e">
        <f>VLOOKUP(Table257519913140106110151153[[#This Row],[PEG]],Table1016[#All],3,FALSE)</f>
        <v>#N/A</v>
      </c>
    </row>
    <row r="30" spans="1:5">
      <c r="A30" s="114">
        <v>23</v>
      </c>
      <c r="B30" s="110" t="s">
        <v>12</v>
      </c>
      <c r="C30" s="105" t="e">
        <f>VLOOKUP(Table257519913140106110151153[[#This Row],[PEG]],Table1016[#All],2,FALSE)</f>
        <v>#N/A</v>
      </c>
      <c r="D30" s="113"/>
      <c r="E30" s="122" t="e">
        <f>VLOOKUP(Table257519913140106110151153[[#This Row],[PEG]],Table1016[#All],3,FALSE)</f>
        <v>#N/A</v>
      </c>
    </row>
    <row r="31" spans="1:5">
      <c r="A31" s="114">
        <v>24</v>
      </c>
      <c r="B31" s="110" t="s">
        <v>115</v>
      </c>
      <c r="C31" s="105" t="e">
        <f>VLOOKUP(Table257519913140106110151153[[#This Row],[PEG]],Table1016[#All],2,FALSE)</f>
        <v>#N/A</v>
      </c>
      <c r="D31" s="113"/>
      <c r="E31" s="122" t="e">
        <f>VLOOKUP(Table257519913140106110151153[[#This Row],[PEG]],Table1016[#All],3,FALSE)</f>
        <v>#N/A</v>
      </c>
    </row>
    <row r="32" spans="1:5">
      <c r="A32" s="114">
        <v>25</v>
      </c>
      <c r="B32" s="110" t="s">
        <v>115</v>
      </c>
      <c r="C32" s="105" t="e">
        <f>VLOOKUP(Table257519913140106110151153[[#This Row],[PEG]],Table1016[#All],2,FALSE)</f>
        <v>#N/A</v>
      </c>
      <c r="D32" s="113"/>
      <c r="E32" s="122" t="e">
        <f>VLOOKUP(Table257519913140106110151153[[#This Row],[PEG]],Table1016[#All],3,FALSE)</f>
        <v>#N/A</v>
      </c>
    </row>
    <row r="33" spans="1:5">
      <c r="A33" s="114">
        <v>26</v>
      </c>
      <c r="B33" s="110" t="s">
        <v>124</v>
      </c>
      <c r="C33" s="105" t="e">
        <f>VLOOKUP(Table257519913140106110151153[[#This Row],[PEG]],Table1016[#All],2,FALSE)</f>
        <v>#N/A</v>
      </c>
      <c r="D33" s="113"/>
      <c r="E33" s="122" t="e">
        <f>VLOOKUP(Table257519913140106110151153[[#This Row],[PEG]],Table1016[#All],3,FALSE)</f>
        <v>#N/A</v>
      </c>
    </row>
    <row r="34" spans="1:5">
      <c r="A34" s="114">
        <v>27</v>
      </c>
      <c r="B34" s="110" t="s">
        <v>115</v>
      </c>
      <c r="C34" s="105" t="e">
        <f>VLOOKUP(Table257519913140106110151153[[#This Row],[PEG]],Table1016[#All],2,FALSE)</f>
        <v>#N/A</v>
      </c>
      <c r="D34" s="113"/>
      <c r="E34" s="122" t="e">
        <f>VLOOKUP(Table257519913140106110151153[[#This Row],[PEG]],Table1016[#All],3,FALSE)</f>
        <v>#N/A</v>
      </c>
    </row>
    <row r="35" spans="1:5">
      <c r="A35" s="114">
        <v>28</v>
      </c>
      <c r="B35" s="110" t="s">
        <v>124</v>
      </c>
      <c r="C35" s="105" t="e">
        <f>VLOOKUP(Table257519913140106110151153[[#This Row],[PEG]],Table1016[#All],2,FALSE)</f>
        <v>#N/A</v>
      </c>
      <c r="D35" s="113"/>
      <c r="E35" s="122" t="e">
        <f>VLOOKUP(Table257519913140106110151153[[#This Row],[PEG]],Table1016[#All],3,FALSE)</f>
        <v>#N/A</v>
      </c>
    </row>
    <row r="36" spans="1:5">
      <c r="A36" s="114">
        <v>29</v>
      </c>
      <c r="B36" s="110" t="s">
        <v>115</v>
      </c>
      <c r="C36" s="105" t="e">
        <f>VLOOKUP(Table257519913140106110151153[[#This Row],[PEG]],Table1016[#All],2,FALSE)</f>
        <v>#N/A</v>
      </c>
      <c r="D36" s="113"/>
      <c r="E36" s="122" t="e">
        <f>VLOOKUP(Table257519913140106110151153[[#This Row],[PEG]],Table1016[#All],3,FALSE)</f>
        <v>#N/A</v>
      </c>
    </row>
    <row r="37" spans="1:5">
      <c r="A37" s="114">
        <v>30</v>
      </c>
      <c r="B37" s="110" t="s">
        <v>12</v>
      </c>
      <c r="C37" s="105" t="e">
        <f>VLOOKUP(Table257519913140106110151153[[#This Row],[PEG]],Table1016[#All],2,FALSE)</f>
        <v>#N/A</v>
      </c>
      <c r="D37" s="113"/>
      <c r="E37" s="122" t="e">
        <f>VLOOKUP(Table257519913140106110151153[[#This Row],[PEG]],Table1016[#All],3,FALSE)</f>
        <v>#N/A</v>
      </c>
    </row>
    <row r="38" spans="1:5">
      <c r="A38" s="114">
        <v>31</v>
      </c>
      <c r="B38" s="110" t="s">
        <v>12</v>
      </c>
      <c r="C38" s="105" t="e">
        <f>VLOOKUP(Table257519913140106110151153[[#This Row],[PEG]],Table1016[#All],2,FALSE)</f>
        <v>#N/A</v>
      </c>
      <c r="D38" s="113"/>
      <c r="E38" s="122" t="e">
        <f>VLOOKUP(Table257519913140106110151153[[#This Row],[PEG]],Table1016[#All],3,FALSE)</f>
        <v>#N/A</v>
      </c>
    </row>
    <row r="39" spans="1:5">
      <c r="A39" s="114">
        <v>32</v>
      </c>
      <c r="B39" s="110" t="s">
        <v>12</v>
      </c>
      <c r="C39" s="105" t="e">
        <f>VLOOKUP(Table257519913140106110151153[[#This Row],[PEG]],Table1016[#All],2,FALSE)</f>
        <v>#N/A</v>
      </c>
      <c r="D39" s="113"/>
      <c r="E39" s="122" t="e">
        <f>VLOOKUP(Table257519913140106110151153[[#This Row],[PEG]],Table1016[#All],3,FALSE)</f>
        <v>#N/A</v>
      </c>
    </row>
    <row r="40" spans="1:5">
      <c r="A40" s="114">
        <v>33</v>
      </c>
      <c r="B40" s="110" t="s">
        <v>12</v>
      </c>
      <c r="C40" s="105" t="e">
        <f>VLOOKUP(Table257519913140106110151153[[#This Row],[PEG]],Table1016[#All],2,FALSE)</f>
        <v>#N/A</v>
      </c>
      <c r="D40" s="113"/>
      <c r="E40" s="122" t="e">
        <f>VLOOKUP(Table257519913140106110151153[[#This Row],[PEG]],Table1016[#All],3,FALSE)</f>
        <v>#N/A</v>
      </c>
    </row>
    <row r="41" spans="1:5">
      <c r="A41" s="114">
        <v>34</v>
      </c>
      <c r="B41" s="110" t="s">
        <v>115</v>
      </c>
      <c r="C41" s="105" t="e">
        <f>VLOOKUP(Table257519913140106110151153[[#This Row],[PEG]],Table1016[#All],2,FALSE)</f>
        <v>#N/A</v>
      </c>
      <c r="D41" s="113"/>
      <c r="E41" s="122" t="e">
        <f>VLOOKUP(Table257519913140106110151153[[#This Row],[PEG]],Table1016[#All],3,FALSE)</f>
        <v>#N/A</v>
      </c>
    </row>
    <row r="42" spans="1:5">
      <c r="A42" s="114">
        <v>35</v>
      </c>
      <c r="B42" s="110" t="s">
        <v>12</v>
      </c>
      <c r="C42" s="105" t="e">
        <f>VLOOKUP(Table257519913140106110151153[[#This Row],[PEG]],Table1016[#All],2,FALSE)</f>
        <v>#N/A</v>
      </c>
      <c r="D42" s="111"/>
      <c r="E42" s="122" t="e">
        <f>VLOOKUP(Table257519913140106110151153[[#This Row],[PEG]],Table1016[#All],3,FALSE)</f>
        <v>#N/A</v>
      </c>
    </row>
    <row r="43" spans="1:5">
      <c r="A43" s="114">
        <v>36</v>
      </c>
      <c r="B43" s="110" t="s">
        <v>115</v>
      </c>
      <c r="C43" s="105" t="e">
        <f>VLOOKUP(Table257519913140106110151153[[#This Row],[PEG]],Table1016[#All],2,FALSE)</f>
        <v>#N/A</v>
      </c>
      <c r="D43" s="111"/>
      <c r="E43" s="122" t="e">
        <f>VLOOKUP(Table257519913140106110151153[[#This Row],[PEG]],Table1016[#All],3,FALSE)</f>
        <v>#N/A</v>
      </c>
    </row>
    <row r="44" spans="1:5">
      <c r="A44" s="114">
        <v>37</v>
      </c>
      <c r="B44" s="110" t="s">
        <v>13</v>
      </c>
      <c r="C44" s="17" t="s">
        <v>13</v>
      </c>
      <c r="D44" s="111"/>
      <c r="E44" s="31"/>
    </row>
  </sheetData>
  <mergeCells count="1">
    <mergeCell ref="A1:B1"/>
  </mergeCells>
  <conditionalFormatting sqref="B8:B18">
    <cfRule type="containsText" dxfId="2268" priority="1" operator="containsText" text="Hear">
      <formula>NOT(ISERROR(SEARCH("Hear",B8)))</formula>
    </cfRule>
  </conditionalFormatting>
  <conditionalFormatting sqref="B30">
    <cfRule type="containsText" dxfId="2267" priority="4" operator="containsText" text="Hear">
      <formula>NOT(ISERROR(SEARCH("Hear",B30)))</formula>
    </cfRule>
  </conditionalFormatting>
  <conditionalFormatting sqref="B43:B44">
    <cfRule type="containsText" dxfId="2266" priority="8" operator="containsText" text="Hear">
      <formula>NOT(ISERROR(SEARCH("Hear",B43)))</formula>
    </cfRule>
  </conditionalFormatting>
  <conditionalFormatting sqref="E44">
    <cfRule type="containsText" dxfId="2265" priority="6" operator="containsText" text="WEB SERVICE">
      <formula>NOT(ISERROR(SEARCH("WEB SERVICE",E44)))</formula>
    </cfRule>
    <cfRule type="containsText" dxfId="2264" priority="7" operator="containsText" text="DB">
      <formula>NOT(ISERROR(SEARCH("DB",E44)))</formula>
    </cfRule>
  </conditionalFormatting>
  <conditionalFormatting sqref="C44">
    <cfRule type="expression" dxfId="2263" priority="9">
      <formula>$B44="Dial"</formula>
    </cfRule>
  </conditionalFormatting>
  <conditionalFormatting sqref="B36:B38 B40:B41">
    <cfRule type="containsText" dxfId="2262" priority="3" operator="containsText" text="Hear">
      <formula>NOT(ISERROR(SEARCH("Hear",B36)))</formula>
    </cfRule>
  </conditionalFormatting>
  <conditionalFormatting sqref="B19:B29 B31:B35 B42">
    <cfRule type="containsText" dxfId="2261" priority="5" operator="containsText" text="Hear">
      <formula>NOT(ISERROR(SEARCH("Hear",B19)))</formula>
    </cfRule>
  </conditionalFormatting>
  <hyperlinks>
    <hyperlink ref="A1" location="'Test Case Overview'!A1" display="Return to Test Case Overview" xr:uid="{00000000-0004-0000-7B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BC6FBE5C-8B33-4541-9244-329109ED9C53}">
            <xm:f>'TC1'!$B8="HANGUP"</xm:f>
            <x14:dxf>
              <font>
                <b/>
                <i val="0"/>
              </font>
            </x14:dxf>
          </x14:cfRule>
          <x14:cfRule type="expression" priority="10" id="{ECC088D7-D50F-4DB8-B928-012F558B5085}">
            <xm:f>'TC1'!$B8="Dial"</xm:f>
            <x14:dxf>
              <font>
                <b/>
                <i val="0"/>
                <color rgb="FFFF0000"/>
              </font>
            </x14:dxf>
          </x14:cfRule>
          <xm:sqref>C8</xm:sqref>
        </x14:conditionalFormatting>
        <x14:conditionalFormatting xmlns:xm="http://schemas.microsoft.com/office/excel/2006/main">
          <x14:cfRule type="expression" priority="11" id="{30F7BC7B-D6AD-4E12-9E41-1137735F5D2F}">
            <xm:f>'TC1'!$B8="Speak"</xm:f>
            <x14:dxf>
              <font>
                <b/>
                <i val="0"/>
                <color rgb="FFFF0000"/>
              </font>
            </x14:dxf>
          </x14:cfRule>
          <xm:sqref>C8</xm:sqref>
        </x14:conditionalFormatting>
        <x14:conditionalFormatting xmlns:xm="http://schemas.microsoft.com/office/excel/2006/main">
          <x14:cfRule type="containsText" priority="12" operator="containsText" text="DB" id="{1FA4A374-1BF5-4A7C-B775-97F36216F931}">
            <xm:f>NOT(ISERROR(SEARCH("DB",'TC1'!E10)))</xm:f>
            <x14:dxf>
              <font>
                <color rgb="FF006100"/>
              </font>
              <fill>
                <patternFill>
                  <bgColor rgb="FFC6EFCE"/>
                </patternFill>
              </fill>
            </x14:dxf>
          </x14:cfRule>
          <x14:cfRule type="containsText" priority="12" operator="containsText" text="WEB SERVICE" id="{03922C18-CA87-40D7-9A19-1D276E137510}">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containsText" priority="14" operator="containsText" text="Hear" id="{722D5508-3D52-44EC-80C1-2994B6A74FAB}">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726" id="{BC6FBE5C-8B33-4541-9244-329109ED9C53}">
            <xm:f>'TC1'!$B14="HANGUP"</xm:f>
            <x14:dxf>
              <font>
                <b/>
                <i val="0"/>
              </font>
            </x14:dxf>
          </x14:cfRule>
          <x14:cfRule type="expression" priority="2727" id="{ECC088D7-D50F-4DB8-B928-012F558B5085}">
            <xm:f>'TC1'!$B14="Dial"</xm:f>
            <x14:dxf>
              <font>
                <b/>
                <i val="0"/>
                <color rgb="FFFF0000"/>
              </font>
            </x14:dxf>
          </x14:cfRule>
          <xm:sqref>C34:C43</xm:sqref>
        </x14:conditionalFormatting>
        <x14:conditionalFormatting xmlns:xm="http://schemas.microsoft.com/office/excel/2006/main">
          <x14:cfRule type="expression" priority="2728" id="{BC6FBE5C-8B33-4541-9244-329109ED9C53}">
            <xm:f>'TC1'!#REF!="HANGUP"</xm:f>
            <x14:dxf>
              <font>
                <b/>
                <i val="0"/>
              </font>
            </x14:dxf>
          </x14:cfRule>
          <x14:cfRule type="expression" priority="2729" id="{ECC088D7-D50F-4DB8-B928-012F558B5085}">
            <xm:f>'TC1'!#REF!="Dial"</xm:f>
            <x14:dxf>
              <font>
                <b/>
                <i val="0"/>
                <color rgb="FFFF0000"/>
              </font>
            </x14:dxf>
          </x14:cfRule>
          <xm:sqref>C13:C33</xm:sqref>
        </x14:conditionalFormatting>
        <x14:conditionalFormatting xmlns:xm="http://schemas.microsoft.com/office/excel/2006/main">
          <x14:cfRule type="expression" priority="2733" id="{30F7BC7B-D6AD-4E12-9E41-1137735F5D2F}">
            <xm:f>'TC1'!$B14="Speak"</xm:f>
            <x14:dxf>
              <font>
                <b/>
                <i val="0"/>
                <color rgb="FFFF0000"/>
              </font>
            </x14:dxf>
          </x14:cfRule>
          <xm:sqref>C34:C43</xm:sqref>
        </x14:conditionalFormatting>
        <x14:conditionalFormatting xmlns:xm="http://schemas.microsoft.com/office/excel/2006/main">
          <x14:cfRule type="expression" priority="2734" id="{30F7BC7B-D6AD-4E12-9E41-1137735F5D2F}">
            <xm:f>'TC1'!#REF!="Speak"</xm:f>
            <x14:dxf>
              <font>
                <b/>
                <i val="0"/>
                <color rgb="FFFF0000"/>
              </font>
            </x14:dxf>
          </x14:cfRule>
          <xm:sqref>C13:C33</xm:sqref>
        </x14:conditionalFormatting>
        <x14:conditionalFormatting xmlns:xm="http://schemas.microsoft.com/office/excel/2006/main">
          <x14:cfRule type="containsText" priority="2738" operator="containsText" text="DB" id="{1FA4A374-1BF5-4A7C-B775-97F36216F931}">
            <xm:f>NOT(ISERROR(SEARCH("DB",'TC1'!E14)))</xm:f>
            <x14:dxf>
              <font>
                <color rgb="FF006100"/>
              </font>
              <fill>
                <patternFill>
                  <bgColor rgb="FFC6EFCE"/>
                </patternFill>
              </fill>
            </x14:dxf>
          </x14:cfRule>
          <x14:cfRule type="containsText" priority="2739" operator="containsText" text="WEB SERVICE" id="{03922C18-CA87-40D7-9A19-1D276E137510}">
            <xm:f>NOT(ISERROR(SEARCH("WEB SERVICE",'TC1'!E14)))</xm:f>
            <x14:dxf>
              <font>
                <color rgb="FF9C0006"/>
              </font>
              <fill>
                <patternFill>
                  <bgColor rgb="FFFFC7CE"/>
                </patternFill>
              </fill>
            </x14:dxf>
          </x14:cfRule>
          <xm:sqref>E34:E43</xm:sqref>
        </x14:conditionalFormatting>
        <x14:conditionalFormatting xmlns:xm="http://schemas.microsoft.com/office/excel/2006/main">
          <x14:cfRule type="containsText" priority="2740" operator="containsText" text="DB" id="{1FA4A374-1BF5-4A7C-B775-97F36216F931}">
            <xm:f>NOT(ISERROR(SEARCH("DB",'TC1'!#REF!)))</xm:f>
            <x14:dxf>
              <font>
                <color rgb="FF006100"/>
              </font>
              <fill>
                <patternFill>
                  <bgColor rgb="FFC6EFCE"/>
                </patternFill>
              </fill>
            </x14:dxf>
          </x14:cfRule>
          <x14:cfRule type="containsText" priority="2741" operator="containsText" text="WEB SERVICE" id="{03922C18-CA87-40D7-9A19-1D276E137510}">
            <xm:f>NOT(ISERROR(SEARCH("WEB SERVICE",'TC1'!#REF!)))</xm:f>
            <x14:dxf>
              <font>
                <color rgb="FF9C0006"/>
              </font>
              <fill>
                <patternFill>
                  <bgColor rgb="FFFFC7CE"/>
                </patternFill>
              </fill>
            </x14:dxf>
          </x14:cfRule>
          <xm:sqref>E13:E33</xm:sqref>
        </x14:conditionalFormatting>
        <x14:conditionalFormatting xmlns:xm="http://schemas.microsoft.com/office/excel/2006/main">
          <x14:cfRule type="expression" priority="4342" id="{BC6FBE5C-8B33-4541-9244-329109ED9C53}">
            <xm:f>'TC1'!$B10="HANGUP"</xm:f>
            <x14:dxf>
              <font>
                <b/>
                <i val="0"/>
              </font>
            </x14:dxf>
          </x14:cfRule>
          <x14:cfRule type="expression" priority="4343" id="{ECC088D7-D50F-4DB8-B928-012F558B5085}">
            <xm:f>'TC1'!$B10="Dial"</xm:f>
            <x14:dxf>
              <font>
                <b/>
                <i val="0"/>
                <color rgb="FFFF0000"/>
              </font>
            </x14:dxf>
          </x14:cfRule>
          <xm:sqref>C9:C12</xm:sqref>
        </x14:conditionalFormatting>
        <x14:conditionalFormatting xmlns:xm="http://schemas.microsoft.com/office/excel/2006/main">
          <x14:cfRule type="expression" priority="4345" id="{30F7BC7B-D6AD-4E12-9E41-1137735F5D2F}">
            <xm:f>'TC1'!$B10="Speak"</xm:f>
            <x14:dxf>
              <font>
                <b/>
                <i val="0"/>
                <color rgb="FFFF0000"/>
              </font>
            </x14:dxf>
          </x14:cfRule>
          <xm:sqref>C9:C12</xm:sqref>
        </x14:conditionalFormatting>
        <x14:conditionalFormatting xmlns:xm="http://schemas.microsoft.com/office/excel/2006/main">
          <x14:cfRule type="containsText" priority="6123" operator="containsText" text="Hear" id="{A89A4A71-F136-47EB-B7C0-1001BD0E8A53}">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sheetPr codeName="Sheet126"/>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TC124</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VLOOKUP(Table257519913140106110151155[[#This Row],[PEG]],Table1016[#All],2,FALSE)</f>
        <v>#N/A</v>
      </c>
      <c r="D9" s="125"/>
      <c r="E9" s="122" t="e">
        <f>VLOOKUP(Table257519913140106110151155[[#This Row],[PEG]],Table1016[#All],3,FALSE)</f>
        <v>#N/A</v>
      </c>
    </row>
    <row r="10" spans="1:5">
      <c r="A10" s="114">
        <v>3</v>
      </c>
      <c r="B10" s="110" t="s">
        <v>115</v>
      </c>
      <c r="C10" s="105" t="e">
        <f>VLOOKUP(Table257519913140106110151155[[#This Row],[PEG]],Table1016[#All],2,FALSE)</f>
        <v>#N/A</v>
      </c>
      <c r="D10" s="125"/>
      <c r="E10" s="122" t="e">
        <f>VLOOKUP(Table257519913140106110151155[[#This Row],[PEG]],Table1016[#All],3,FALSE)</f>
        <v>#N/A</v>
      </c>
    </row>
    <row r="11" spans="1:5">
      <c r="A11" s="114">
        <v>4</v>
      </c>
      <c r="B11" s="110" t="s">
        <v>115</v>
      </c>
      <c r="C11" s="105" t="e">
        <f>VLOOKUP(Table257519913140106110151155[[#This Row],[PEG]],Table1016[#All],2,FALSE)</f>
        <v>#N/A</v>
      </c>
      <c r="D11" s="125"/>
      <c r="E11" s="122" t="e">
        <f>VLOOKUP(Table257519913140106110151155[[#This Row],[PEG]],Table1016[#All],3,FALSE)</f>
        <v>#N/A</v>
      </c>
    </row>
    <row r="12" spans="1:5">
      <c r="A12" s="114">
        <v>5</v>
      </c>
      <c r="B12" s="110" t="s">
        <v>114</v>
      </c>
      <c r="C12" s="105" t="e">
        <f>VLOOKUP(Table257519913140106110151155[[#This Row],[PEG]],Table1016[#All],2,FALSE)</f>
        <v>#N/A</v>
      </c>
      <c r="D12" s="125"/>
      <c r="E12" s="122" t="e">
        <f>VLOOKUP(Table257519913140106110151155[[#This Row],[PEG]],Table1016[#All],3,FALSE)</f>
        <v>#N/A</v>
      </c>
    </row>
    <row r="13" spans="1:5">
      <c r="A13" s="114">
        <v>6</v>
      </c>
      <c r="B13" s="110" t="s">
        <v>115</v>
      </c>
      <c r="C13" s="105" t="e">
        <f>VLOOKUP(Table257519913140106110151155[[#This Row],[PEG]],Table1016[#All],2,FALSE)</f>
        <v>#N/A</v>
      </c>
      <c r="D13" s="125"/>
      <c r="E13" s="122" t="e">
        <f>VLOOKUP(Table257519913140106110151155[[#This Row],[PEG]],Table1016[#All],3,FALSE)</f>
        <v>#N/A</v>
      </c>
    </row>
    <row r="14" spans="1:5">
      <c r="A14" s="114">
        <v>7</v>
      </c>
      <c r="B14" s="110" t="s">
        <v>114</v>
      </c>
      <c r="C14" s="105" t="e">
        <f>VLOOKUP(Table257519913140106110151155[[#This Row],[PEG]],Table1016[#All],2,FALSE)</f>
        <v>#N/A</v>
      </c>
      <c r="D14" s="125"/>
      <c r="E14" s="122" t="e">
        <f>VLOOKUP(Table257519913140106110151155[[#This Row],[PEG]],Table1016[#All],3,FALSE)</f>
        <v>#N/A</v>
      </c>
    </row>
    <row r="15" spans="1:5">
      <c r="A15" s="114">
        <v>8</v>
      </c>
      <c r="B15" s="110" t="s">
        <v>115</v>
      </c>
      <c r="C15" s="105" t="e">
        <f>VLOOKUP(Table257519913140106110151155[[#This Row],[PEG]],Table1016[#All],2,FALSE)</f>
        <v>#N/A</v>
      </c>
      <c r="D15" s="112"/>
      <c r="E15" s="122" t="e">
        <f>VLOOKUP(Table257519913140106110151155[[#This Row],[PEG]],Table1016[#All],3,FALSE)</f>
        <v>#N/A</v>
      </c>
    </row>
    <row r="16" spans="1:5">
      <c r="A16" s="114">
        <v>9</v>
      </c>
      <c r="B16" s="110" t="s">
        <v>12</v>
      </c>
      <c r="C16" s="105" t="e">
        <f>VLOOKUP(Table257519913140106110151155[[#This Row],[PEG]],Table1016[#All],2,FALSE)</f>
        <v>#N/A</v>
      </c>
      <c r="D16" s="112"/>
      <c r="E16" s="122" t="e">
        <f>VLOOKUP(Table257519913140106110151155[[#This Row],[PEG]],Table1016[#All],3,FALSE)</f>
        <v>#N/A</v>
      </c>
    </row>
    <row r="17" spans="1:5">
      <c r="A17" s="114">
        <v>10</v>
      </c>
      <c r="B17" s="110" t="s">
        <v>12</v>
      </c>
      <c r="C17" s="105" t="e">
        <f>VLOOKUP(Table257519913140106110151155[[#This Row],[PEG]],Table1016[#All],2,FALSE)</f>
        <v>#N/A</v>
      </c>
      <c r="D17" s="113"/>
      <c r="E17" s="122" t="e">
        <f>VLOOKUP(Table257519913140106110151155[[#This Row],[PEG]],Table1016[#All],3,FALSE)</f>
        <v>#N/A</v>
      </c>
    </row>
    <row r="18" spans="1:5">
      <c r="A18" s="114">
        <v>11</v>
      </c>
      <c r="B18" s="110" t="s">
        <v>115</v>
      </c>
      <c r="C18" s="105" t="e">
        <f>VLOOKUP(Table257519913140106110151155[[#This Row],[PEG]],Table1016[#All],2,FALSE)</f>
        <v>#N/A</v>
      </c>
      <c r="D18" s="113"/>
      <c r="E18" s="122" t="e">
        <f>VLOOKUP(Table257519913140106110151155[[#This Row],[PEG]],Table1016[#All],3,FALSE)</f>
        <v>#N/A</v>
      </c>
    </row>
    <row r="19" spans="1:5">
      <c r="A19" s="114">
        <v>12</v>
      </c>
      <c r="B19" s="110" t="s">
        <v>115</v>
      </c>
      <c r="C19" s="105" t="e">
        <f>VLOOKUP(Table257519913140106110151155[[#This Row],[PEG]],Table1016[#All],2,FALSE)</f>
        <v>#N/A</v>
      </c>
      <c r="D19" s="113"/>
      <c r="E19" s="122" t="e">
        <f>VLOOKUP(Table257519913140106110151155[[#This Row],[PEG]],Table1016[#All],3,FALSE)</f>
        <v>#N/A</v>
      </c>
    </row>
    <row r="20" spans="1:5">
      <c r="A20" s="114">
        <v>13</v>
      </c>
      <c r="B20" s="110" t="s">
        <v>114</v>
      </c>
      <c r="C20" s="105" t="e">
        <f>VLOOKUP(Table257519913140106110151155[[#This Row],[PEG]],Table1016[#All],2,FALSE)</f>
        <v>#N/A</v>
      </c>
      <c r="D20" s="113"/>
      <c r="E20" s="122" t="e">
        <f>VLOOKUP(Table257519913140106110151155[[#This Row],[PEG]],Table1016[#All],3,FALSE)</f>
        <v>#N/A</v>
      </c>
    </row>
    <row r="21" spans="1:5">
      <c r="A21" s="114">
        <v>14</v>
      </c>
      <c r="B21" s="110" t="s">
        <v>12</v>
      </c>
      <c r="C21" s="105" t="e">
        <f>VLOOKUP(Table257519913140106110151155[[#This Row],[PEG]],Table1016[#All],2,FALSE)</f>
        <v>#N/A</v>
      </c>
      <c r="D21" s="113"/>
      <c r="E21" s="122" t="e">
        <f>VLOOKUP(Table257519913140106110151155[[#This Row],[PEG]],Table1016[#All],3,FALSE)</f>
        <v>#N/A</v>
      </c>
    </row>
    <row r="22" spans="1:5">
      <c r="A22" s="114">
        <v>15</v>
      </c>
      <c r="B22" s="110" t="s">
        <v>12</v>
      </c>
      <c r="C22" s="105" t="e">
        <f>VLOOKUP(Table257519913140106110151155[[#This Row],[PEG]],Table1016[#All],2,FALSE)</f>
        <v>#N/A</v>
      </c>
      <c r="D22" s="113"/>
      <c r="E22" s="122" t="e">
        <f>VLOOKUP(Table257519913140106110151155[[#This Row],[PEG]],Table1016[#All],3,FALSE)</f>
        <v>#N/A</v>
      </c>
    </row>
    <row r="23" spans="1:5">
      <c r="A23" s="114">
        <v>16</v>
      </c>
      <c r="B23" s="110" t="s">
        <v>115</v>
      </c>
      <c r="C23" s="105" t="e">
        <f>VLOOKUP(Table257519913140106110151155[[#This Row],[PEG]],Table1016[#All],2,FALSE)</f>
        <v>#N/A</v>
      </c>
      <c r="D23" s="113"/>
      <c r="E23" s="122" t="e">
        <f>VLOOKUP(Table257519913140106110151155[[#This Row],[PEG]],Table1016[#All],3,FALSE)</f>
        <v>#N/A</v>
      </c>
    </row>
    <row r="24" spans="1:5">
      <c r="A24" s="114">
        <v>17</v>
      </c>
      <c r="B24" s="110" t="s">
        <v>114</v>
      </c>
      <c r="C24" s="105" t="e">
        <f>VLOOKUP(Table257519913140106110151155[[#This Row],[PEG]],Table1016[#All],2,FALSE)</f>
        <v>#N/A</v>
      </c>
      <c r="D24" s="113"/>
      <c r="E24" s="122" t="e">
        <f>VLOOKUP(Table257519913140106110151155[[#This Row],[PEG]],Table1016[#All],3,FALSE)</f>
        <v>#N/A</v>
      </c>
    </row>
    <row r="25" spans="1:5">
      <c r="A25" s="114">
        <v>18</v>
      </c>
      <c r="B25" s="110" t="s">
        <v>12</v>
      </c>
      <c r="C25" s="105" t="e">
        <f>VLOOKUP(Table257519913140106110151155[[#This Row],[PEG]],Table1016[#All],2,FALSE)</f>
        <v>#N/A</v>
      </c>
      <c r="D25" s="113"/>
      <c r="E25" s="122" t="e">
        <f>VLOOKUP(Table257519913140106110151155[[#This Row],[PEG]],Table1016[#All],3,FALSE)</f>
        <v>#N/A</v>
      </c>
    </row>
    <row r="26" spans="1:5">
      <c r="A26" s="114">
        <v>19</v>
      </c>
      <c r="B26" s="110" t="s">
        <v>12</v>
      </c>
      <c r="C26" s="105" t="e">
        <f>VLOOKUP(Table257519913140106110151155[[#This Row],[PEG]],Table1016[#All],2,FALSE)</f>
        <v>#N/A</v>
      </c>
      <c r="D26" s="113"/>
      <c r="E26" s="122" t="e">
        <f>VLOOKUP(Table257519913140106110151155[[#This Row],[PEG]],Table1016[#All],3,FALSE)</f>
        <v>#N/A</v>
      </c>
    </row>
    <row r="27" spans="1:5">
      <c r="A27" s="114">
        <v>20</v>
      </c>
      <c r="B27" s="110" t="s">
        <v>115</v>
      </c>
      <c r="C27" s="105" t="e">
        <f>VLOOKUP(Table257519913140106110151155[[#This Row],[PEG]],Table1016[#All],2,FALSE)</f>
        <v>#N/A</v>
      </c>
      <c r="D27" s="113"/>
      <c r="E27" s="122" t="e">
        <f>VLOOKUP(Table257519913140106110151155[[#This Row],[PEG]],Table1016[#All],3,FALSE)</f>
        <v>#N/A</v>
      </c>
    </row>
    <row r="28" spans="1:5">
      <c r="A28" s="114">
        <v>21</v>
      </c>
      <c r="B28" s="110" t="s">
        <v>114</v>
      </c>
      <c r="C28" s="105" t="e">
        <f>VLOOKUP(Table257519913140106110151155[[#This Row],[PEG]],Table1016[#All],2,FALSE)</f>
        <v>#N/A</v>
      </c>
      <c r="D28" s="113"/>
      <c r="E28" s="122" t="e">
        <f>VLOOKUP(Table257519913140106110151155[[#This Row],[PEG]],Table1016[#All],3,FALSE)</f>
        <v>#N/A</v>
      </c>
    </row>
    <row r="29" spans="1:5">
      <c r="A29" s="114">
        <v>22</v>
      </c>
      <c r="B29" s="110" t="s">
        <v>12</v>
      </c>
      <c r="C29" s="105" t="e">
        <f>VLOOKUP(Table257519913140106110151155[[#This Row],[PEG]],Table1016[#All],2,FALSE)</f>
        <v>#N/A</v>
      </c>
      <c r="D29" s="113"/>
      <c r="E29" s="122" t="e">
        <f>VLOOKUP(Table257519913140106110151155[[#This Row],[PEG]],Table1016[#All],3,FALSE)</f>
        <v>#N/A</v>
      </c>
    </row>
    <row r="30" spans="1:5">
      <c r="A30" s="114">
        <v>23</v>
      </c>
      <c r="B30" s="110" t="s">
        <v>12</v>
      </c>
      <c r="C30" s="105" t="e">
        <f>VLOOKUP(Table257519913140106110151155[[#This Row],[PEG]],Table1016[#All],2,FALSE)</f>
        <v>#N/A</v>
      </c>
      <c r="D30" s="113"/>
      <c r="E30" s="122" t="e">
        <f>VLOOKUP(Table257519913140106110151155[[#This Row],[PEG]],Table1016[#All],3,FALSE)</f>
        <v>#N/A</v>
      </c>
    </row>
    <row r="31" spans="1:5">
      <c r="A31" s="114">
        <v>24</v>
      </c>
      <c r="B31" s="110" t="s">
        <v>115</v>
      </c>
      <c r="C31" s="105" t="e">
        <f>VLOOKUP(Table257519913140106110151155[[#This Row],[PEG]],Table1016[#All],2,FALSE)</f>
        <v>#N/A</v>
      </c>
      <c r="D31" s="113"/>
      <c r="E31" s="122" t="e">
        <f>VLOOKUP(Table257519913140106110151155[[#This Row],[PEG]],Table1016[#All],3,FALSE)</f>
        <v>#N/A</v>
      </c>
    </row>
    <row r="32" spans="1:5">
      <c r="A32" s="114">
        <v>25</v>
      </c>
      <c r="B32" s="110" t="s">
        <v>115</v>
      </c>
      <c r="C32" s="105" t="e">
        <f>VLOOKUP(Table257519913140106110151155[[#This Row],[PEG]],Table1016[#All],2,FALSE)</f>
        <v>#N/A</v>
      </c>
      <c r="D32" s="113"/>
      <c r="E32" s="122" t="e">
        <f>VLOOKUP(Table257519913140106110151155[[#This Row],[PEG]],Table1016[#All],3,FALSE)</f>
        <v>#N/A</v>
      </c>
    </row>
    <row r="33" spans="1:5">
      <c r="A33" s="114">
        <v>26</v>
      </c>
      <c r="B33" s="110" t="s">
        <v>124</v>
      </c>
      <c r="C33" s="105" t="e">
        <f>VLOOKUP(Table257519913140106110151155[[#This Row],[PEG]],Table1016[#All],2,FALSE)</f>
        <v>#N/A</v>
      </c>
      <c r="D33" s="113"/>
      <c r="E33" s="122" t="e">
        <f>VLOOKUP(Table257519913140106110151155[[#This Row],[PEG]],Table1016[#All],3,FALSE)</f>
        <v>#N/A</v>
      </c>
    </row>
    <row r="34" spans="1:5">
      <c r="A34" s="114">
        <v>27</v>
      </c>
      <c r="B34" s="110" t="s">
        <v>115</v>
      </c>
      <c r="C34" s="105" t="e">
        <f>VLOOKUP(Table257519913140106110151155[[#This Row],[PEG]],Table1016[#All],2,FALSE)</f>
        <v>#N/A</v>
      </c>
      <c r="D34" s="113"/>
      <c r="E34" s="122" t="e">
        <f>VLOOKUP(Table257519913140106110151155[[#This Row],[PEG]],Table1016[#All],3,FALSE)</f>
        <v>#N/A</v>
      </c>
    </row>
    <row r="35" spans="1:5">
      <c r="A35" s="114">
        <v>28</v>
      </c>
      <c r="B35" s="110" t="s">
        <v>124</v>
      </c>
      <c r="C35" s="105" t="e">
        <f>VLOOKUP(Table257519913140106110151155[[#This Row],[PEG]],Table1016[#All],2,FALSE)</f>
        <v>#N/A</v>
      </c>
      <c r="D35" s="113"/>
      <c r="E35" s="122" t="e">
        <f>VLOOKUP(Table257519913140106110151155[[#This Row],[PEG]],Table1016[#All],3,FALSE)</f>
        <v>#N/A</v>
      </c>
    </row>
    <row r="36" spans="1:5">
      <c r="A36" s="114">
        <v>29</v>
      </c>
      <c r="B36" s="110" t="s">
        <v>115</v>
      </c>
      <c r="C36" s="105" t="e">
        <f>VLOOKUP(Table257519913140106110151155[[#This Row],[PEG]],Table1016[#All],2,FALSE)</f>
        <v>#N/A</v>
      </c>
      <c r="D36" s="113"/>
      <c r="E36" s="122" t="e">
        <f>VLOOKUP(Table257519913140106110151155[[#This Row],[PEG]],Table1016[#All],3,FALSE)</f>
        <v>#N/A</v>
      </c>
    </row>
    <row r="37" spans="1:5">
      <c r="A37" s="114">
        <v>30</v>
      </c>
      <c r="B37" s="110" t="s">
        <v>12</v>
      </c>
      <c r="C37" s="105" t="e">
        <f>VLOOKUP(Table257519913140106110151155[[#This Row],[PEG]],Table1016[#All],2,FALSE)</f>
        <v>#N/A</v>
      </c>
      <c r="D37" s="113"/>
      <c r="E37" s="122" t="e">
        <f>VLOOKUP(Table257519913140106110151155[[#This Row],[PEG]],Table1016[#All],3,FALSE)</f>
        <v>#N/A</v>
      </c>
    </row>
    <row r="38" spans="1:5">
      <c r="A38" s="114">
        <v>31</v>
      </c>
      <c r="B38" s="110" t="s">
        <v>12</v>
      </c>
      <c r="C38" s="105" t="e">
        <f>VLOOKUP(Table257519913140106110151155[[#This Row],[PEG]],Table1016[#All],2,FALSE)</f>
        <v>#N/A</v>
      </c>
      <c r="D38" s="113"/>
      <c r="E38" s="122" t="e">
        <f>VLOOKUP(Table257519913140106110151155[[#This Row],[PEG]],Table1016[#All],3,FALSE)</f>
        <v>#N/A</v>
      </c>
    </row>
    <row r="39" spans="1:5">
      <c r="A39" s="114">
        <v>32</v>
      </c>
      <c r="B39" s="110" t="s">
        <v>12</v>
      </c>
      <c r="C39" s="105" t="e">
        <f>VLOOKUP(Table257519913140106110151155[[#This Row],[PEG]],Table1016[#All],2,FALSE)</f>
        <v>#N/A</v>
      </c>
      <c r="D39" s="113"/>
      <c r="E39" s="122" t="e">
        <f>VLOOKUP(Table257519913140106110151155[[#This Row],[PEG]],Table1016[#All],3,FALSE)</f>
        <v>#N/A</v>
      </c>
    </row>
    <row r="40" spans="1:5">
      <c r="A40" s="114">
        <v>33</v>
      </c>
      <c r="B40" s="110" t="s">
        <v>12</v>
      </c>
      <c r="C40" s="105" t="e">
        <f>VLOOKUP(Table257519913140106110151155[[#This Row],[PEG]],Table1016[#All],2,FALSE)</f>
        <v>#N/A</v>
      </c>
      <c r="D40" s="113"/>
      <c r="E40" s="122" t="e">
        <f>VLOOKUP(Table257519913140106110151155[[#This Row],[PEG]],Table1016[#All],3,FALSE)</f>
        <v>#N/A</v>
      </c>
    </row>
    <row r="41" spans="1:5">
      <c r="A41" s="114">
        <v>34</v>
      </c>
      <c r="B41" s="110" t="s">
        <v>115</v>
      </c>
      <c r="C41" s="105" t="e">
        <f>VLOOKUP(Table257519913140106110151155[[#This Row],[PEG]],Table1016[#All],2,FALSE)</f>
        <v>#N/A</v>
      </c>
      <c r="D41" s="113"/>
      <c r="E41" s="122" t="e">
        <f>VLOOKUP(Table257519913140106110151155[[#This Row],[PEG]],Table1016[#All],3,FALSE)</f>
        <v>#N/A</v>
      </c>
    </row>
    <row r="42" spans="1:5">
      <c r="A42" s="114">
        <v>35</v>
      </c>
      <c r="B42" s="110" t="s">
        <v>12</v>
      </c>
      <c r="C42" s="105" t="e">
        <f>VLOOKUP(Table257519913140106110151155[[#This Row],[PEG]],Table1016[#All],2,FALSE)</f>
        <v>#N/A</v>
      </c>
      <c r="D42" s="111"/>
      <c r="E42" s="122" t="e">
        <f>VLOOKUP(Table257519913140106110151155[[#This Row],[PEG]],Table1016[#All],3,FALSE)</f>
        <v>#N/A</v>
      </c>
    </row>
    <row r="43" spans="1:5">
      <c r="A43" s="114">
        <v>36</v>
      </c>
      <c r="B43" s="110" t="s">
        <v>115</v>
      </c>
      <c r="C43" s="105" t="e">
        <f>VLOOKUP(Table257519913140106110151155[[#This Row],[PEG]],Table1016[#All],2,FALSE)</f>
        <v>#N/A</v>
      </c>
      <c r="D43" s="111"/>
      <c r="E43" s="122" t="e">
        <f>VLOOKUP(Table257519913140106110151155[[#This Row],[PEG]],Table1016[#All],3,FALSE)</f>
        <v>#N/A</v>
      </c>
    </row>
    <row r="44" spans="1:5">
      <c r="A44" s="114">
        <v>37</v>
      </c>
      <c r="B44" s="110" t="s">
        <v>13</v>
      </c>
      <c r="C44" s="17" t="s">
        <v>13</v>
      </c>
      <c r="D44" s="111"/>
      <c r="E44" s="31"/>
    </row>
  </sheetData>
  <mergeCells count="1">
    <mergeCell ref="A1:B1"/>
  </mergeCells>
  <conditionalFormatting sqref="B8:B18">
    <cfRule type="containsText" dxfId="2231" priority="1" operator="containsText" text="Hear">
      <formula>NOT(ISERROR(SEARCH("Hear",B8)))</formula>
    </cfRule>
  </conditionalFormatting>
  <conditionalFormatting sqref="B30">
    <cfRule type="containsText" dxfId="2230" priority="4" operator="containsText" text="Hear">
      <formula>NOT(ISERROR(SEARCH("Hear",B30)))</formula>
    </cfRule>
  </conditionalFormatting>
  <conditionalFormatting sqref="B43:B44">
    <cfRule type="containsText" dxfId="2229" priority="8" operator="containsText" text="Hear">
      <formula>NOT(ISERROR(SEARCH("Hear",B43)))</formula>
    </cfRule>
  </conditionalFormatting>
  <conditionalFormatting sqref="E44">
    <cfRule type="containsText" dxfId="2228" priority="6" operator="containsText" text="WEB SERVICE">
      <formula>NOT(ISERROR(SEARCH("WEB SERVICE",E44)))</formula>
    </cfRule>
    <cfRule type="containsText" dxfId="2227" priority="7" operator="containsText" text="DB">
      <formula>NOT(ISERROR(SEARCH("DB",E44)))</formula>
    </cfRule>
  </conditionalFormatting>
  <conditionalFormatting sqref="C44">
    <cfRule type="expression" dxfId="2226" priority="9">
      <formula>$B44="Dial"</formula>
    </cfRule>
  </conditionalFormatting>
  <conditionalFormatting sqref="B36:B38 B40:B41">
    <cfRule type="containsText" dxfId="2225" priority="3" operator="containsText" text="Hear">
      <formula>NOT(ISERROR(SEARCH("Hear",B36)))</formula>
    </cfRule>
  </conditionalFormatting>
  <conditionalFormatting sqref="B19:B29 B31:B35 B42">
    <cfRule type="containsText" dxfId="2224" priority="5" operator="containsText" text="Hear">
      <formula>NOT(ISERROR(SEARCH("Hear",B19)))</formula>
    </cfRule>
  </conditionalFormatting>
  <hyperlinks>
    <hyperlink ref="A1" location="'Test Case Overview'!A1" display="Return to Test Case Overview" xr:uid="{00000000-0004-0000-7C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 id="{E7655D24-BD93-4C63-B1C9-E7BDA6F16F32}">
            <xm:f>'TC1'!$B8="HANGUP"</xm:f>
            <x14:dxf>
              <font>
                <b/>
                <i val="0"/>
              </font>
            </x14:dxf>
          </x14:cfRule>
          <x14:cfRule type="expression" priority="10" id="{DE4ABD63-371C-447D-94F7-DBE70E1369B1}">
            <xm:f>'TC1'!$B8="Dial"</xm:f>
            <x14:dxf>
              <font>
                <b/>
                <i val="0"/>
                <color rgb="FFFF0000"/>
              </font>
            </x14:dxf>
          </x14:cfRule>
          <xm:sqref>C8</xm:sqref>
        </x14:conditionalFormatting>
        <x14:conditionalFormatting xmlns:xm="http://schemas.microsoft.com/office/excel/2006/main">
          <x14:cfRule type="expression" priority="11" id="{B7A9AA88-587C-4B2B-8C62-F492A0BA919B}">
            <xm:f>'TC1'!$B8="Speak"</xm:f>
            <x14:dxf>
              <font>
                <b/>
                <i val="0"/>
                <color rgb="FFFF0000"/>
              </font>
            </x14:dxf>
          </x14:cfRule>
          <xm:sqref>C8</xm:sqref>
        </x14:conditionalFormatting>
        <x14:conditionalFormatting xmlns:xm="http://schemas.microsoft.com/office/excel/2006/main">
          <x14:cfRule type="containsText" priority="12" operator="containsText" text="DB" id="{2F3AD2EF-C4A3-4FCB-BC97-C123BA63DCFE}">
            <xm:f>NOT(ISERROR(SEARCH("DB",'TC1'!E10)))</xm:f>
            <x14:dxf>
              <font>
                <color rgb="FF006100"/>
              </font>
              <fill>
                <patternFill>
                  <bgColor rgb="FFC6EFCE"/>
                </patternFill>
              </fill>
            </x14:dxf>
          </x14:cfRule>
          <x14:cfRule type="containsText" priority="12" operator="containsText" text="WEB SERVICE" id="{140C042D-683F-4744-9478-E1AD72358FB5}">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containsText" priority="14" operator="containsText" text="Hear" id="{24E957A9-DA0B-4B7F-A7AD-00742BE67531}">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746" id="{E7655D24-BD93-4C63-B1C9-E7BDA6F16F32}">
            <xm:f>'TC1'!$B14="HANGUP"</xm:f>
            <x14:dxf>
              <font>
                <b/>
                <i val="0"/>
              </font>
            </x14:dxf>
          </x14:cfRule>
          <x14:cfRule type="expression" priority="2747" id="{DE4ABD63-371C-447D-94F7-DBE70E1369B1}">
            <xm:f>'TC1'!$B14="Dial"</xm:f>
            <x14:dxf>
              <font>
                <b/>
                <i val="0"/>
                <color rgb="FFFF0000"/>
              </font>
            </x14:dxf>
          </x14:cfRule>
          <xm:sqref>C34:C43</xm:sqref>
        </x14:conditionalFormatting>
        <x14:conditionalFormatting xmlns:xm="http://schemas.microsoft.com/office/excel/2006/main">
          <x14:cfRule type="expression" priority="2748" id="{E7655D24-BD93-4C63-B1C9-E7BDA6F16F32}">
            <xm:f>'TC1'!#REF!="HANGUP"</xm:f>
            <x14:dxf>
              <font>
                <b/>
                <i val="0"/>
              </font>
            </x14:dxf>
          </x14:cfRule>
          <x14:cfRule type="expression" priority="2749" id="{DE4ABD63-371C-447D-94F7-DBE70E1369B1}">
            <xm:f>'TC1'!#REF!="Dial"</xm:f>
            <x14:dxf>
              <font>
                <b/>
                <i val="0"/>
                <color rgb="FFFF0000"/>
              </font>
            </x14:dxf>
          </x14:cfRule>
          <xm:sqref>C13:C33</xm:sqref>
        </x14:conditionalFormatting>
        <x14:conditionalFormatting xmlns:xm="http://schemas.microsoft.com/office/excel/2006/main">
          <x14:cfRule type="expression" priority="2753" id="{B7A9AA88-587C-4B2B-8C62-F492A0BA919B}">
            <xm:f>'TC1'!$B14="Speak"</xm:f>
            <x14:dxf>
              <font>
                <b/>
                <i val="0"/>
                <color rgb="FFFF0000"/>
              </font>
            </x14:dxf>
          </x14:cfRule>
          <xm:sqref>C34:C43</xm:sqref>
        </x14:conditionalFormatting>
        <x14:conditionalFormatting xmlns:xm="http://schemas.microsoft.com/office/excel/2006/main">
          <x14:cfRule type="expression" priority="2754" id="{B7A9AA88-587C-4B2B-8C62-F492A0BA919B}">
            <xm:f>'TC1'!#REF!="Speak"</xm:f>
            <x14:dxf>
              <font>
                <b/>
                <i val="0"/>
                <color rgb="FFFF0000"/>
              </font>
            </x14:dxf>
          </x14:cfRule>
          <xm:sqref>C13:C33</xm:sqref>
        </x14:conditionalFormatting>
        <x14:conditionalFormatting xmlns:xm="http://schemas.microsoft.com/office/excel/2006/main">
          <x14:cfRule type="containsText" priority="2758" operator="containsText" text="DB" id="{2F3AD2EF-C4A3-4FCB-BC97-C123BA63DCFE}">
            <xm:f>NOT(ISERROR(SEARCH("DB",'TC1'!E14)))</xm:f>
            <x14:dxf>
              <font>
                <color rgb="FF006100"/>
              </font>
              <fill>
                <patternFill>
                  <bgColor rgb="FFC6EFCE"/>
                </patternFill>
              </fill>
            </x14:dxf>
          </x14:cfRule>
          <x14:cfRule type="containsText" priority="2759" operator="containsText" text="WEB SERVICE" id="{140C042D-683F-4744-9478-E1AD72358FB5}">
            <xm:f>NOT(ISERROR(SEARCH("WEB SERVICE",'TC1'!E14)))</xm:f>
            <x14:dxf>
              <font>
                <color rgb="FF9C0006"/>
              </font>
              <fill>
                <patternFill>
                  <bgColor rgb="FFFFC7CE"/>
                </patternFill>
              </fill>
            </x14:dxf>
          </x14:cfRule>
          <xm:sqref>E34:E43</xm:sqref>
        </x14:conditionalFormatting>
        <x14:conditionalFormatting xmlns:xm="http://schemas.microsoft.com/office/excel/2006/main">
          <x14:cfRule type="containsText" priority="2760" operator="containsText" text="DB" id="{2F3AD2EF-C4A3-4FCB-BC97-C123BA63DCFE}">
            <xm:f>NOT(ISERROR(SEARCH("DB",'TC1'!#REF!)))</xm:f>
            <x14:dxf>
              <font>
                <color rgb="FF006100"/>
              </font>
              <fill>
                <patternFill>
                  <bgColor rgb="FFC6EFCE"/>
                </patternFill>
              </fill>
            </x14:dxf>
          </x14:cfRule>
          <x14:cfRule type="containsText" priority="2761" operator="containsText" text="WEB SERVICE" id="{140C042D-683F-4744-9478-E1AD72358FB5}">
            <xm:f>NOT(ISERROR(SEARCH("WEB SERVICE",'TC1'!#REF!)))</xm:f>
            <x14:dxf>
              <font>
                <color rgb="FF9C0006"/>
              </font>
              <fill>
                <patternFill>
                  <bgColor rgb="FFFFC7CE"/>
                </patternFill>
              </fill>
            </x14:dxf>
          </x14:cfRule>
          <xm:sqref>E13:E33</xm:sqref>
        </x14:conditionalFormatting>
        <x14:conditionalFormatting xmlns:xm="http://schemas.microsoft.com/office/excel/2006/main">
          <x14:cfRule type="expression" priority="4350" id="{E7655D24-BD93-4C63-B1C9-E7BDA6F16F32}">
            <xm:f>'TC1'!$B10="HANGUP"</xm:f>
            <x14:dxf>
              <font>
                <b/>
                <i val="0"/>
              </font>
            </x14:dxf>
          </x14:cfRule>
          <x14:cfRule type="expression" priority="4351" id="{DE4ABD63-371C-447D-94F7-DBE70E1369B1}">
            <xm:f>'TC1'!$B10="Dial"</xm:f>
            <x14:dxf>
              <font>
                <b/>
                <i val="0"/>
                <color rgb="FFFF0000"/>
              </font>
            </x14:dxf>
          </x14:cfRule>
          <xm:sqref>C9:C12</xm:sqref>
        </x14:conditionalFormatting>
        <x14:conditionalFormatting xmlns:xm="http://schemas.microsoft.com/office/excel/2006/main">
          <x14:cfRule type="expression" priority="4353" id="{B7A9AA88-587C-4B2B-8C62-F492A0BA919B}">
            <xm:f>'TC1'!$B10="Speak"</xm:f>
            <x14:dxf>
              <font>
                <b/>
                <i val="0"/>
                <color rgb="FFFF0000"/>
              </font>
            </x14:dxf>
          </x14:cfRule>
          <xm:sqref>C9:C12</xm:sqref>
        </x14:conditionalFormatting>
        <x14:conditionalFormatting xmlns:xm="http://schemas.microsoft.com/office/excel/2006/main">
          <x14:cfRule type="containsText" priority="6138" operator="containsText" text="Hear" id="{6BB7B049-4F1B-41F2-A972-58CF6A0A78AC}">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sheetPr codeName="Sheet127"/>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TC125</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VLOOKUP(Table257519913140106110151155158[[#This Row],[PEG]],Table1016[#All],2,FALSE)</f>
        <v>#N/A</v>
      </c>
      <c r="D9" s="125"/>
      <c r="E9" s="122" t="e">
        <f>VLOOKUP(Table257519913140106110151155158[[#This Row],[PEG]],Table1016[#All],3,FALSE)</f>
        <v>#N/A</v>
      </c>
    </row>
    <row r="10" spans="1:5">
      <c r="A10" s="114">
        <v>3</v>
      </c>
      <c r="B10" s="110" t="s">
        <v>115</v>
      </c>
      <c r="C10" s="105" t="e">
        <f>VLOOKUP(Table257519913140106110151155158[[#This Row],[PEG]],Table1016[#All],2,FALSE)</f>
        <v>#N/A</v>
      </c>
      <c r="D10" s="125"/>
      <c r="E10" s="122" t="e">
        <f>VLOOKUP(Table257519913140106110151155158[[#This Row],[PEG]],Table1016[#All],3,FALSE)</f>
        <v>#N/A</v>
      </c>
    </row>
    <row r="11" spans="1:5">
      <c r="A11" s="114">
        <v>4</v>
      </c>
      <c r="B11" s="110" t="s">
        <v>115</v>
      </c>
      <c r="C11" s="105" t="e">
        <f>VLOOKUP(Table257519913140106110151155158[[#This Row],[PEG]],Table1016[#All],2,FALSE)</f>
        <v>#N/A</v>
      </c>
      <c r="D11" s="125"/>
      <c r="E11" s="122" t="e">
        <f>VLOOKUP(Table257519913140106110151155158[[#This Row],[PEG]],Table1016[#All],3,FALSE)</f>
        <v>#N/A</v>
      </c>
    </row>
    <row r="12" spans="1:5">
      <c r="A12" s="114">
        <v>5</v>
      </c>
      <c r="B12" s="110" t="s">
        <v>114</v>
      </c>
      <c r="C12" s="105" t="e">
        <f>VLOOKUP(Table257519913140106110151155158[[#This Row],[PEG]],Table1016[#All],2,FALSE)</f>
        <v>#N/A</v>
      </c>
      <c r="D12" s="125"/>
      <c r="E12" s="122" t="e">
        <f>VLOOKUP(Table257519913140106110151155158[[#This Row],[PEG]],Table1016[#All],3,FALSE)</f>
        <v>#N/A</v>
      </c>
    </row>
    <row r="13" spans="1:5">
      <c r="A13" s="114">
        <v>6</v>
      </c>
      <c r="B13" s="110" t="s">
        <v>115</v>
      </c>
      <c r="C13" s="105" t="e">
        <f>VLOOKUP(Table257519913140106110151155158[[#This Row],[PEG]],Table1016[#All],2,FALSE)</f>
        <v>#N/A</v>
      </c>
      <c r="D13" s="125"/>
      <c r="E13" s="122" t="e">
        <f>VLOOKUP(Table257519913140106110151155158[[#This Row],[PEG]],Table1016[#All],3,FALSE)</f>
        <v>#N/A</v>
      </c>
    </row>
    <row r="14" spans="1:5">
      <c r="A14" s="114">
        <v>7</v>
      </c>
      <c r="B14" s="110" t="s">
        <v>114</v>
      </c>
      <c r="C14" s="105" t="e">
        <f>VLOOKUP(Table257519913140106110151155158[[#This Row],[PEG]],Table1016[#All],2,FALSE)</f>
        <v>#N/A</v>
      </c>
      <c r="D14" s="125"/>
      <c r="E14" s="122" t="e">
        <f>VLOOKUP(Table257519913140106110151155158[[#This Row],[PEG]],Table1016[#All],3,FALSE)</f>
        <v>#N/A</v>
      </c>
    </row>
    <row r="15" spans="1:5">
      <c r="A15" s="114">
        <v>8</v>
      </c>
      <c r="B15" s="110" t="s">
        <v>115</v>
      </c>
      <c r="C15" s="105" t="e">
        <f>VLOOKUP(Table257519913140106110151155158[[#This Row],[PEG]],Table1016[#All],2,FALSE)</f>
        <v>#N/A</v>
      </c>
      <c r="D15" s="112"/>
      <c r="E15" s="122" t="e">
        <f>VLOOKUP(Table257519913140106110151155158[[#This Row],[PEG]],Table1016[#All],3,FALSE)</f>
        <v>#N/A</v>
      </c>
    </row>
    <row r="16" spans="1:5">
      <c r="A16" s="114">
        <v>9</v>
      </c>
      <c r="B16" s="110" t="s">
        <v>12</v>
      </c>
      <c r="C16" s="105" t="e">
        <f>VLOOKUP(Table257519913140106110151155158[[#This Row],[PEG]],Table1016[#All],2,FALSE)</f>
        <v>#N/A</v>
      </c>
      <c r="D16" s="112"/>
      <c r="E16" s="122" t="e">
        <f>VLOOKUP(Table257519913140106110151155158[[#This Row],[PEG]],Table1016[#All],3,FALSE)</f>
        <v>#N/A</v>
      </c>
    </row>
    <row r="17" spans="1:5">
      <c r="A17" s="114">
        <v>10</v>
      </c>
      <c r="B17" s="110" t="s">
        <v>12</v>
      </c>
      <c r="C17" s="105" t="e">
        <f>VLOOKUP(Table257519913140106110151155158[[#This Row],[PEG]],Table1016[#All],2,FALSE)</f>
        <v>#N/A</v>
      </c>
      <c r="D17" s="113"/>
      <c r="E17" s="122" t="e">
        <f>VLOOKUP(Table257519913140106110151155158[[#This Row],[PEG]],Table1016[#All],3,FALSE)</f>
        <v>#N/A</v>
      </c>
    </row>
    <row r="18" spans="1:5">
      <c r="A18" s="114">
        <v>11</v>
      </c>
      <c r="B18" s="110" t="s">
        <v>115</v>
      </c>
      <c r="C18" s="105" t="e">
        <f>VLOOKUP(Table257519913140106110151155158[[#This Row],[PEG]],Table1016[#All],2,FALSE)</f>
        <v>#N/A</v>
      </c>
      <c r="D18" s="113"/>
      <c r="E18" s="122" t="e">
        <f>VLOOKUP(Table257519913140106110151155158[[#This Row],[PEG]],Table1016[#All],3,FALSE)</f>
        <v>#N/A</v>
      </c>
    </row>
    <row r="19" spans="1:5">
      <c r="A19" s="114">
        <v>12</v>
      </c>
      <c r="B19" s="110" t="s">
        <v>115</v>
      </c>
      <c r="C19" s="105" t="e">
        <f>VLOOKUP(Table257519913140106110151155158[[#This Row],[PEG]],Table1016[#All],2,FALSE)</f>
        <v>#N/A</v>
      </c>
      <c r="D19" s="113"/>
      <c r="E19" s="122" t="e">
        <f>VLOOKUP(Table257519913140106110151155158[[#This Row],[PEG]],Table1016[#All],3,FALSE)</f>
        <v>#N/A</v>
      </c>
    </row>
    <row r="20" spans="1:5">
      <c r="A20" s="114">
        <v>13</v>
      </c>
      <c r="B20" s="110" t="s">
        <v>114</v>
      </c>
      <c r="C20" s="105" t="e">
        <f>VLOOKUP(Table257519913140106110151155158[[#This Row],[PEG]],Table1016[#All],2,FALSE)</f>
        <v>#N/A</v>
      </c>
      <c r="D20" s="113"/>
      <c r="E20" s="122" t="e">
        <f>VLOOKUP(Table257519913140106110151155158[[#This Row],[PEG]],Table1016[#All],3,FALSE)</f>
        <v>#N/A</v>
      </c>
    </row>
    <row r="21" spans="1:5">
      <c r="A21" s="114">
        <v>14</v>
      </c>
      <c r="B21" s="110" t="s">
        <v>12</v>
      </c>
      <c r="C21" s="105" t="e">
        <f>VLOOKUP(Table257519913140106110151155158[[#This Row],[PEG]],Table1016[#All],2,FALSE)</f>
        <v>#N/A</v>
      </c>
      <c r="D21" s="113"/>
      <c r="E21" s="122" t="e">
        <f>VLOOKUP(Table257519913140106110151155158[[#This Row],[PEG]],Table1016[#All],3,FALSE)</f>
        <v>#N/A</v>
      </c>
    </row>
    <row r="22" spans="1:5">
      <c r="A22" s="114">
        <v>15</v>
      </c>
      <c r="B22" s="110" t="s">
        <v>12</v>
      </c>
      <c r="C22" s="105" t="e">
        <f>VLOOKUP(Table257519913140106110151155158[[#This Row],[PEG]],Table1016[#All],2,FALSE)</f>
        <v>#N/A</v>
      </c>
      <c r="D22" s="113"/>
      <c r="E22" s="122" t="e">
        <f>VLOOKUP(Table257519913140106110151155158[[#This Row],[PEG]],Table1016[#All],3,FALSE)</f>
        <v>#N/A</v>
      </c>
    </row>
    <row r="23" spans="1:5">
      <c r="A23" s="114">
        <v>16</v>
      </c>
      <c r="B23" s="110" t="s">
        <v>115</v>
      </c>
      <c r="C23" s="105" t="e">
        <f>VLOOKUP(Table257519913140106110151155158[[#This Row],[PEG]],Table1016[#All],2,FALSE)</f>
        <v>#N/A</v>
      </c>
      <c r="D23" s="113"/>
      <c r="E23" s="122" t="e">
        <f>VLOOKUP(Table257519913140106110151155158[[#This Row],[PEG]],Table1016[#All],3,FALSE)</f>
        <v>#N/A</v>
      </c>
    </row>
    <row r="24" spans="1:5">
      <c r="A24" s="114">
        <v>17</v>
      </c>
      <c r="B24" s="110" t="s">
        <v>114</v>
      </c>
      <c r="C24" s="105" t="e">
        <f>VLOOKUP(Table257519913140106110151155158[[#This Row],[PEG]],Table1016[#All],2,FALSE)</f>
        <v>#N/A</v>
      </c>
      <c r="D24" s="113"/>
      <c r="E24" s="122" t="e">
        <f>VLOOKUP(Table257519913140106110151155158[[#This Row],[PEG]],Table1016[#All],3,FALSE)</f>
        <v>#N/A</v>
      </c>
    </row>
    <row r="25" spans="1:5">
      <c r="A25" s="114">
        <v>18</v>
      </c>
      <c r="B25" s="110" t="s">
        <v>12</v>
      </c>
      <c r="C25" s="105" t="e">
        <f>VLOOKUP(Table257519913140106110151155158[[#This Row],[PEG]],Table1016[#All],2,FALSE)</f>
        <v>#N/A</v>
      </c>
      <c r="D25" s="113"/>
      <c r="E25" s="122" t="e">
        <f>VLOOKUP(Table257519913140106110151155158[[#This Row],[PEG]],Table1016[#All],3,FALSE)</f>
        <v>#N/A</v>
      </c>
    </row>
    <row r="26" spans="1:5">
      <c r="A26" s="114">
        <v>19</v>
      </c>
      <c r="B26" s="110" t="s">
        <v>12</v>
      </c>
      <c r="C26" s="105" t="e">
        <f>VLOOKUP(Table257519913140106110151155158[[#This Row],[PEG]],Table1016[#All],2,FALSE)</f>
        <v>#N/A</v>
      </c>
      <c r="D26" s="113"/>
      <c r="E26" s="122" t="e">
        <f>VLOOKUP(Table257519913140106110151155158[[#This Row],[PEG]],Table1016[#All],3,FALSE)</f>
        <v>#N/A</v>
      </c>
    </row>
    <row r="27" spans="1:5">
      <c r="A27" s="114">
        <v>20</v>
      </c>
      <c r="B27" s="110" t="s">
        <v>115</v>
      </c>
      <c r="C27" s="105" t="e">
        <f>VLOOKUP(Table257519913140106110151155158[[#This Row],[PEG]],Table1016[#All],2,FALSE)</f>
        <v>#N/A</v>
      </c>
      <c r="D27" s="113"/>
      <c r="E27" s="122" t="e">
        <f>VLOOKUP(Table257519913140106110151155158[[#This Row],[PEG]],Table1016[#All],3,FALSE)</f>
        <v>#N/A</v>
      </c>
    </row>
    <row r="28" spans="1:5">
      <c r="A28" s="114">
        <v>21</v>
      </c>
      <c r="B28" s="110" t="s">
        <v>114</v>
      </c>
      <c r="C28" s="105" t="e">
        <f>VLOOKUP(Table257519913140106110151155158[[#This Row],[PEG]],Table1016[#All],2,FALSE)</f>
        <v>#N/A</v>
      </c>
      <c r="D28" s="113"/>
      <c r="E28" s="122" t="e">
        <f>VLOOKUP(Table257519913140106110151155158[[#This Row],[PEG]],Table1016[#All],3,FALSE)</f>
        <v>#N/A</v>
      </c>
    </row>
    <row r="29" spans="1:5">
      <c r="A29" s="114">
        <v>22</v>
      </c>
      <c r="B29" s="110" t="s">
        <v>12</v>
      </c>
      <c r="C29" s="105" t="e">
        <f>VLOOKUP(Table257519913140106110151155158[[#This Row],[PEG]],Table1016[#All],2,FALSE)</f>
        <v>#N/A</v>
      </c>
      <c r="D29" s="113"/>
      <c r="E29" s="122" t="e">
        <f>VLOOKUP(Table257519913140106110151155158[[#This Row],[PEG]],Table1016[#All],3,FALSE)</f>
        <v>#N/A</v>
      </c>
    </row>
    <row r="30" spans="1:5">
      <c r="A30" s="114">
        <v>23</v>
      </c>
      <c r="B30" s="110" t="s">
        <v>12</v>
      </c>
      <c r="C30" s="105" t="e">
        <f>VLOOKUP(Table257519913140106110151155158[[#This Row],[PEG]],Table1016[#All],2,FALSE)</f>
        <v>#N/A</v>
      </c>
      <c r="D30" s="113"/>
      <c r="E30" s="122" t="e">
        <f>VLOOKUP(Table257519913140106110151155158[[#This Row],[PEG]],Table1016[#All],3,FALSE)</f>
        <v>#N/A</v>
      </c>
    </row>
    <row r="31" spans="1:5">
      <c r="A31" s="114">
        <v>24</v>
      </c>
      <c r="B31" s="110" t="s">
        <v>115</v>
      </c>
      <c r="C31" s="105" t="e">
        <f>VLOOKUP(Table257519913140106110151155158[[#This Row],[PEG]],Table1016[#All],2,FALSE)</f>
        <v>#N/A</v>
      </c>
      <c r="D31" s="113"/>
      <c r="E31" s="122" t="e">
        <f>VLOOKUP(Table257519913140106110151155158[[#This Row],[PEG]],Table1016[#All],3,FALSE)</f>
        <v>#N/A</v>
      </c>
    </row>
    <row r="32" spans="1:5">
      <c r="A32" s="114">
        <v>25</v>
      </c>
      <c r="B32" s="110" t="s">
        <v>115</v>
      </c>
      <c r="C32" s="105" t="e">
        <f>VLOOKUP(Table257519913140106110151155158[[#This Row],[PEG]],Table1016[#All],2,FALSE)</f>
        <v>#N/A</v>
      </c>
      <c r="D32" s="113"/>
      <c r="E32" s="122" t="e">
        <f>VLOOKUP(Table257519913140106110151155158[[#This Row],[PEG]],Table1016[#All],3,FALSE)</f>
        <v>#N/A</v>
      </c>
    </row>
    <row r="33" spans="1:5">
      <c r="A33" s="114">
        <v>26</v>
      </c>
      <c r="B33" s="110" t="s">
        <v>124</v>
      </c>
      <c r="C33" s="105" t="e">
        <f>VLOOKUP(Table257519913140106110151155158[[#This Row],[PEG]],Table1016[#All],2,FALSE)</f>
        <v>#N/A</v>
      </c>
      <c r="D33" s="113"/>
      <c r="E33" s="122" t="e">
        <f>VLOOKUP(Table257519913140106110151155158[[#This Row],[PEG]],Table1016[#All],3,FALSE)</f>
        <v>#N/A</v>
      </c>
    </row>
    <row r="34" spans="1:5">
      <c r="A34" s="114">
        <v>27</v>
      </c>
      <c r="B34" s="110" t="s">
        <v>115</v>
      </c>
      <c r="C34" s="105" t="e">
        <f>VLOOKUP(Table257519913140106110151155158[[#This Row],[PEG]],Table1016[#All],2,FALSE)</f>
        <v>#N/A</v>
      </c>
      <c r="D34" s="113"/>
      <c r="E34" s="122" t="e">
        <f>VLOOKUP(Table257519913140106110151155158[[#This Row],[PEG]],Table1016[#All],3,FALSE)</f>
        <v>#N/A</v>
      </c>
    </row>
    <row r="35" spans="1:5">
      <c r="A35" s="114">
        <v>28</v>
      </c>
      <c r="B35" s="110" t="s">
        <v>124</v>
      </c>
      <c r="C35" s="105" t="e">
        <f>VLOOKUP(Table257519913140106110151155158[[#This Row],[PEG]],Table1016[#All],2,FALSE)</f>
        <v>#N/A</v>
      </c>
      <c r="D35" s="113"/>
      <c r="E35" s="122" t="e">
        <f>VLOOKUP(Table257519913140106110151155158[[#This Row],[PEG]],Table1016[#All],3,FALSE)</f>
        <v>#N/A</v>
      </c>
    </row>
    <row r="36" spans="1:5">
      <c r="A36" s="114">
        <v>29</v>
      </c>
      <c r="B36" s="110" t="s">
        <v>115</v>
      </c>
      <c r="C36" s="105" t="e">
        <f>VLOOKUP(Table257519913140106110151155158[[#This Row],[PEG]],Table1016[#All],2,FALSE)</f>
        <v>#N/A</v>
      </c>
      <c r="D36" s="113"/>
      <c r="E36" s="122" t="e">
        <f>VLOOKUP(Table257519913140106110151155158[[#This Row],[PEG]],Table1016[#All],3,FALSE)</f>
        <v>#N/A</v>
      </c>
    </row>
    <row r="37" spans="1:5">
      <c r="A37" s="114">
        <v>30</v>
      </c>
      <c r="B37" s="110" t="s">
        <v>12</v>
      </c>
      <c r="C37" s="105" t="e">
        <f>VLOOKUP(Table257519913140106110151155158[[#This Row],[PEG]],Table1016[#All],2,FALSE)</f>
        <v>#N/A</v>
      </c>
      <c r="D37" s="113"/>
      <c r="E37" s="122" t="e">
        <f>VLOOKUP(Table257519913140106110151155158[[#This Row],[PEG]],Table1016[#All],3,FALSE)</f>
        <v>#N/A</v>
      </c>
    </row>
    <row r="38" spans="1:5">
      <c r="A38" s="114">
        <v>31</v>
      </c>
      <c r="B38" s="110" t="s">
        <v>12</v>
      </c>
      <c r="C38" s="105" t="e">
        <f>VLOOKUP(Table257519913140106110151155158[[#This Row],[PEG]],Table1016[#All],2,FALSE)</f>
        <v>#N/A</v>
      </c>
      <c r="D38" s="113"/>
      <c r="E38" s="122" t="e">
        <f>VLOOKUP(Table257519913140106110151155158[[#This Row],[PEG]],Table1016[#All],3,FALSE)</f>
        <v>#N/A</v>
      </c>
    </row>
    <row r="39" spans="1:5">
      <c r="A39" s="114">
        <v>32</v>
      </c>
      <c r="B39" s="110" t="s">
        <v>12</v>
      </c>
      <c r="C39" s="105" t="e">
        <f>VLOOKUP(Table257519913140106110151155158[[#This Row],[PEG]],Table1016[#All],2,FALSE)</f>
        <v>#N/A</v>
      </c>
      <c r="D39" s="113"/>
      <c r="E39" s="122" t="e">
        <f>VLOOKUP(Table257519913140106110151155158[[#This Row],[PEG]],Table1016[#All],3,FALSE)</f>
        <v>#N/A</v>
      </c>
    </row>
    <row r="40" spans="1:5">
      <c r="A40" s="114">
        <v>33</v>
      </c>
      <c r="B40" s="110" t="s">
        <v>12</v>
      </c>
      <c r="C40" s="105" t="e">
        <f>VLOOKUP(Table257519913140106110151155158[[#This Row],[PEG]],Table1016[#All],2,FALSE)</f>
        <v>#N/A</v>
      </c>
      <c r="D40" s="113"/>
      <c r="E40" s="122" t="e">
        <f>VLOOKUP(Table257519913140106110151155158[[#This Row],[PEG]],Table1016[#All],3,FALSE)</f>
        <v>#N/A</v>
      </c>
    </row>
    <row r="41" spans="1:5">
      <c r="A41" s="114">
        <v>34</v>
      </c>
      <c r="B41" s="110" t="s">
        <v>115</v>
      </c>
      <c r="C41" s="105" t="e">
        <f>VLOOKUP(Table257519913140106110151155158[[#This Row],[PEG]],Table1016[#All],2,FALSE)</f>
        <v>#N/A</v>
      </c>
      <c r="D41" s="113"/>
      <c r="E41" s="122" t="e">
        <f>VLOOKUP(Table257519913140106110151155158[[#This Row],[PEG]],Table1016[#All],3,FALSE)</f>
        <v>#N/A</v>
      </c>
    </row>
    <row r="42" spans="1:5">
      <c r="A42" s="114">
        <v>35</v>
      </c>
      <c r="B42" s="110" t="s">
        <v>12</v>
      </c>
      <c r="C42" s="105" t="e">
        <f>VLOOKUP(Table257519913140106110151155158[[#This Row],[PEG]],Table1016[#All],2,FALSE)</f>
        <v>#N/A</v>
      </c>
      <c r="D42" s="111"/>
      <c r="E42" s="122" t="e">
        <f>VLOOKUP(Table257519913140106110151155158[[#This Row],[PEG]],Table1016[#All],3,FALSE)</f>
        <v>#N/A</v>
      </c>
    </row>
    <row r="43" spans="1:5">
      <c r="A43" s="114">
        <v>36</v>
      </c>
      <c r="B43" s="110" t="s">
        <v>115</v>
      </c>
      <c r="C43" s="105" t="e">
        <f>VLOOKUP(Table257519913140106110151155158[[#This Row],[PEG]],Table1016[#All],2,FALSE)</f>
        <v>#N/A</v>
      </c>
      <c r="D43" s="111"/>
      <c r="E43" s="122" t="e">
        <f>VLOOKUP(Table257519913140106110151155158[[#This Row],[PEG]],Table1016[#All],3,FALSE)</f>
        <v>#N/A</v>
      </c>
    </row>
    <row r="44" spans="1:5">
      <c r="A44" s="114">
        <v>37</v>
      </c>
      <c r="B44" s="110" t="s">
        <v>13</v>
      </c>
      <c r="C44" s="17" t="s">
        <v>13</v>
      </c>
      <c r="D44" s="111"/>
      <c r="E44" s="31"/>
    </row>
  </sheetData>
  <mergeCells count="1">
    <mergeCell ref="A1:B1"/>
  </mergeCells>
  <conditionalFormatting sqref="B8:B18">
    <cfRule type="containsText" dxfId="2194" priority="1" operator="containsText" text="Hear">
      <formula>NOT(ISERROR(SEARCH("Hear",B8)))</formula>
    </cfRule>
  </conditionalFormatting>
  <conditionalFormatting sqref="B30">
    <cfRule type="containsText" dxfId="2193" priority="4" operator="containsText" text="Hear">
      <formula>NOT(ISERROR(SEARCH("Hear",B30)))</formula>
    </cfRule>
  </conditionalFormatting>
  <conditionalFormatting sqref="B43:B44">
    <cfRule type="containsText" dxfId="2192" priority="8" operator="containsText" text="Hear">
      <formula>NOT(ISERROR(SEARCH("Hear",B43)))</formula>
    </cfRule>
  </conditionalFormatting>
  <conditionalFormatting sqref="E44">
    <cfRule type="containsText" dxfId="2191" priority="6" operator="containsText" text="WEB SERVICE">
      <formula>NOT(ISERROR(SEARCH("WEB SERVICE",E44)))</formula>
    </cfRule>
    <cfRule type="containsText" dxfId="2190" priority="7" operator="containsText" text="DB">
      <formula>NOT(ISERROR(SEARCH("DB",E44)))</formula>
    </cfRule>
  </conditionalFormatting>
  <conditionalFormatting sqref="B36:B38 B40:B41">
    <cfRule type="containsText" dxfId="2189" priority="3" operator="containsText" text="Hear">
      <formula>NOT(ISERROR(SEARCH("Hear",B36)))</formula>
    </cfRule>
  </conditionalFormatting>
  <conditionalFormatting sqref="B19:B29 B31:B35 B42">
    <cfRule type="containsText" dxfId="2188" priority="5" operator="containsText" text="Hear">
      <formula>NOT(ISERROR(SEARCH("Hear",B19)))</formula>
    </cfRule>
  </conditionalFormatting>
  <conditionalFormatting sqref="C44">
    <cfRule type="expression" dxfId="2187" priority="9">
      <formula>$B44="HANGUP"</formula>
    </cfRule>
    <cfRule type="expression" dxfId="2186" priority="9">
      <formula>$B44="Dial"</formula>
    </cfRule>
  </conditionalFormatting>
  <conditionalFormatting sqref="C44">
    <cfRule type="expression" dxfId="2185" priority="10">
      <formula>$B44="Speak"</formula>
    </cfRule>
  </conditionalFormatting>
  <hyperlinks>
    <hyperlink ref="A1" location="'Test Case Overview'!A1" display="Return to Test Case Overview" xr:uid="{00000000-0004-0000-7D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BBBA7FCB-694F-455A-B12B-67F8FD384288}">
            <xm:f>'TC1'!$B8="Dial"</xm:f>
            <x14:dxf>
              <font>
                <b/>
                <i val="0"/>
                <color rgb="FFFF0000"/>
              </font>
            </x14:dxf>
          </x14:cfRule>
          <x14:cfRule type="expression" priority="15" id="{D4B8A7A6-B827-4621-BB26-2776654731A9}">
            <xm:f>'TC1'!$B8="HANGUP"</xm:f>
            <x14:dxf>
              <font>
                <b/>
                <i val="0"/>
              </font>
            </x14:dxf>
          </x14:cfRule>
          <xm:sqref>C8</xm:sqref>
        </x14:conditionalFormatting>
        <x14:conditionalFormatting xmlns:xm="http://schemas.microsoft.com/office/excel/2006/main">
          <x14:cfRule type="expression" priority="14" id="{B20DE416-B7E5-4B98-A87D-E5124E5BC417}">
            <xm:f>'TC1'!$B8="Speak"</xm:f>
            <x14:dxf>
              <font>
                <b/>
                <i val="0"/>
                <color rgb="FFFF0000"/>
              </font>
            </x14:dxf>
          </x14:cfRule>
          <xm:sqref>C8</xm:sqref>
        </x14:conditionalFormatting>
        <x14:conditionalFormatting xmlns:xm="http://schemas.microsoft.com/office/excel/2006/main">
          <x14:cfRule type="containsText" priority="12" operator="containsText" text="DB" id="{4B753AE6-76D2-488D-A0EC-5902C19F7CF3}">
            <xm:f>NOT(ISERROR(SEARCH("DB",'TC1'!E10)))</xm:f>
            <x14:dxf>
              <font>
                <color rgb="FF006100"/>
              </font>
              <fill>
                <patternFill>
                  <bgColor rgb="FFC6EFCE"/>
                </patternFill>
              </fill>
            </x14:dxf>
          </x14:cfRule>
          <x14:cfRule type="containsText" priority="13" operator="containsText" text="WEB SERVICE" id="{BAAF3DBA-EF62-4009-A8CB-D71CBEFA7610}">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containsText" priority="16" operator="containsText" text="Hear" id="{858E4726-153E-419A-A271-4BE4D00FD88A}">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766" id="{BBBA7FCB-694F-455A-B12B-67F8FD384288}">
            <xm:f>'TC1'!$B14="Dial"</xm:f>
            <x14:dxf>
              <font>
                <b/>
                <i val="0"/>
                <color rgb="FFFF0000"/>
              </font>
            </x14:dxf>
          </x14:cfRule>
          <x14:cfRule type="expression" priority="2767" id="{D4B8A7A6-B827-4621-BB26-2776654731A9}">
            <xm:f>'TC1'!$B14="HANGUP"</xm:f>
            <x14:dxf>
              <font>
                <b/>
                <i val="0"/>
              </font>
            </x14:dxf>
          </x14:cfRule>
          <xm:sqref>C34:C43</xm:sqref>
        </x14:conditionalFormatting>
        <x14:conditionalFormatting xmlns:xm="http://schemas.microsoft.com/office/excel/2006/main">
          <x14:cfRule type="expression" priority="2768" id="{BBBA7FCB-694F-455A-B12B-67F8FD384288}">
            <xm:f>'TC1'!#REF!="Dial"</xm:f>
            <x14:dxf>
              <font>
                <b/>
                <i val="0"/>
                <color rgb="FFFF0000"/>
              </font>
            </x14:dxf>
          </x14:cfRule>
          <x14:cfRule type="expression" priority="2769" id="{D4B8A7A6-B827-4621-BB26-2776654731A9}">
            <xm:f>'TC1'!#REF!="HANGUP"</xm:f>
            <x14:dxf>
              <font>
                <b/>
                <i val="0"/>
              </font>
            </x14:dxf>
          </x14:cfRule>
          <xm:sqref>C13:C33</xm:sqref>
        </x14:conditionalFormatting>
        <x14:conditionalFormatting xmlns:xm="http://schemas.microsoft.com/office/excel/2006/main">
          <x14:cfRule type="expression" priority="2773" id="{B20DE416-B7E5-4B98-A87D-E5124E5BC417}">
            <xm:f>'TC1'!$B14="Speak"</xm:f>
            <x14:dxf>
              <font>
                <b/>
                <i val="0"/>
                <color rgb="FFFF0000"/>
              </font>
            </x14:dxf>
          </x14:cfRule>
          <xm:sqref>C34:C43</xm:sqref>
        </x14:conditionalFormatting>
        <x14:conditionalFormatting xmlns:xm="http://schemas.microsoft.com/office/excel/2006/main">
          <x14:cfRule type="expression" priority="2774" id="{B20DE416-B7E5-4B98-A87D-E5124E5BC417}">
            <xm:f>'TC1'!#REF!="Speak"</xm:f>
            <x14:dxf>
              <font>
                <b/>
                <i val="0"/>
                <color rgb="FFFF0000"/>
              </font>
            </x14:dxf>
          </x14:cfRule>
          <xm:sqref>C13:C33</xm:sqref>
        </x14:conditionalFormatting>
        <x14:conditionalFormatting xmlns:xm="http://schemas.microsoft.com/office/excel/2006/main">
          <x14:cfRule type="containsText" priority="2778" operator="containsText" text="DB" id="{4B753AE6-76D2-488D-A0EC-5902C19F7CF3}">
            <xm:f>NOT(ISERROR(SEARCH("DB",'TC1'!E14)))</xm:f>
            <x14:dxf>
              <font>
                <color rgb="FF006100"/>
              </font>
              <fill>
                <patternFill>
                  <bgColor rgb="FFC6EFCE"/>
                </patternFill>
              </fill>
            </x14:dxf>
          </x14:cfRule>
          <x14:cfRule type="containsText" priority="2779" operator="containsText" text="WEB SERVICE" id="{BAAF3DBA-EF62-4009-A8CB-D71CBEFA7610}">
            <xm:f>NOT(ISERROR(SEARCH("WEB SERVICE",'TC1'!E14)))</xm:f>
            <x14:dxf>
              <font>
                <color rgb="FF9C0006"/>
              </font>
              <fill>
                <patternFill>
                  <bgColor rgb="FFFFC7CE"/>
                </patternFill>
              </fill>
            </x14:dxf>
          </x14:cfRule>
          <xm:sqref>E34:E43</xm:sqref>
        </x14:conditionalFormatting>
        <x14:conditionalFormatting xmlns:xm="http://schemas.microsoft.com/office/excel/2006/main">
          <x14:cfRule type="containsText" priority="2780" operator="containsText" text="DB" id="{4B753AE6-76D2-488D-A0EC-5902C19F7CF3}">
            <xm:f>NOT(ISERROR(SEARCH("DB",'TC1'!#REF!)))</xm:f>
            <x14:dxf>
              <font>
                <color rgb="FF006100"/>
              </font>
              <fill>
                <patternFill>
                  <bgColor rgb="FFC6EFCE"/>
                </patternFill>
              </fill>
            </x14:dxf>
          </x14:cfRule>
          <x14:cfRule type="containsText" priority="2781" operator="containsText" text="WEB SERVICE" id="{BAAF3DBA-EF62-4009-A8CB-D71CBEFA7610}">
            <xm:f>NOT(ISERROR(SEARCH("WEB SERVICE",'TC1'!#REF!)))</xm:f>
            <x14:dxf>
              <font>
                <color rgb="FF9C0006"/>
              </font>
              <fill>
                <patternFill>
                  <bgColor rgb="FFFFC7CE"/>
                </patternFill>
              </fill>
            </x14:dxf>
          </x14:cfRule>
          <xm:sqref>E13:E33</xm:sqref>
        </x14:conditionalFormatting>
        <x14:conditionalFormatting xmlns:xm="http://schemas.microsoft.com/office/excel/2006/main">
          <x14:cfRule type="expression" priority="4358" id="{BBBA7FCB-694F-455A-B12B-67F8FD384288}">
            <xm:f>'TC1'!$B10="Dial"</xm:f>
            <x14:dxf>
              <font>
                <b/>
                <i val="0"/>
                <color rgb="FFFF0000"/>
              </font>
            </x14:dxf>
          </x14:cfRule>
          <x14:cfRule type="expression" priority="4359" id="{D4B8A7A6-B827-4621-BB26-2776654731A9}">
            <xm:f>'TC1'!$B10="HANGUP"</xm:f>
            <x14:dxf>
              <font>
                <b/>
                <i val="0"/>
              </font>
            </x14:dxf>
          </x14:cfRule>
          <xm:sqref>C9:C12</xm:sqref>
        </x14:conditionalFormatting>
        <x14:conditionalFormatting xmlns:xm="http://schemas.microsoft.com/office/excel/2006/main">
          <x14:cfRule type="expression" priority="4361" id="{B20DE416-B7E5-4B98-A87D-E5124E5BC417}">
            <xm:f>'TC1'!$B10="Speak"</xm:f>
            <x14:dxf>
              <font>
                <b/>
                <i val="0"/>
                <color rgb="FFFF0000"/>
              </font>
            </x14:dxf>
          </x14:cfRule>
          <xm:sqref>C9:C12</xm:sqref>
        </x14:conditionalFormatting>
        <x14:conditionalFormatting xmlns:xm="http://schemas.microsoft.com/office/excel/2006/main">
          <x14:cfRule type="containsText" priority="6153" operator="containsText" text="Hear" id="{D96FA67E-A576-483D-8472-84FDED311C54}">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sheetPr codeName="Sheet128"/>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TC126</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VLOOKUP(Table257519913140106110151155160[[#This Row],[PEG]],Table1016[#All],2,FALSE)</f>
        <v>#N/A</v>
      </c>
      <c r="D9" s="125"/>
      <c r="E9" s="122" t="e">
        <f>VLOOKUP(Table257519913140106110151155160[[#This Row],[PEG]],Table1016[#All],3,FALSE)</f>
        <v>#N/A</v>
      </c>
    </row>
    <row r="10" spans="1:5">
      <c r="A10" s="114">
        <v>3</v>
      </c>
      <c r="B10" s="110" t="s">
        <v>115</v>
      </c>
      <c r="C10" s="105" t="e">
        <f>VLOOKUP(Table257519913140106110151155160[[#This Row],[PEG]],Table1016[#All],2,FALSE)</f>
        <v>#N/A</v>
      </c>
      <c r="D10" s="125"/>
      <c r="E10" s="122" t="e">
        <f>VLOOKUP(Table257519913140106110151155160[[#This Row],[PEG]],Table1016[#All],3,FALSE)</f>
        <v>#N/A</v>
      </c>
    </row>
    <row r="11" spans="1:5">
      <c r="A11" s="114">
        <v>4</v>
      </c>
      <c r="B11" s="110" t="s">
        <v>115</v>
      </c>
      <c r="C11" s="105" t="e">
        <f>VLOOKUP(Table257519913140106110151155160[[#This Row],[PEG]],Table1016[#All],2,FALSE)</f>
        <v>#N/A</v>
      </c>
      <c r="D11" s="125"/>
      <c r="E11" s="122" t="e">
        <f>VLOOKUP(Table257519913140106110151155160[[#This Row],[PEG]],Table1016[#All],3,FALSE)</f>
        <v>#N/A</v>
      </c>
    </row>
    <row r="12" spans="1:5">
      <c r="A12" s="114">
        <v>5</v>
      </c>
      <c r="B12" s="110" t="s">
        <v>114</v>
      </c>
      <c r="C12" s="105" t="e">
        <f>VLOOKUP(Table257519913140106110151155160[[#This Row],[PEG]],Table1016[#All],2,FALSE)</f>
        <v>#N/A</v>
      </c>
      <c r="D12" s="125"/>
      <c r="E12" s="122" t="e">
        <f>VLOOKUP(Table257519913140106110151155160[[#This Row],[PEG]],Table1016[#All],3,FALSE)</f>
        <v>#N/A</v>
      </c>
    </row>
    <row r="13" spans="1:5">
      <c r="A13" s="114">
        <v>6</v>
      </c>
      <c r="B13" s="110" t="s">
        <v>115</v>
      </c>
      <c r="C13" s="105" t="e">
        <f>VLOOKUP(Table257519913140106110151155160[[#This Row],[PEG]],Table1016[#All],2,FALSE)</f>
        <v>#N/A</v>
      </c>
      <c r="D13" s="125"/>
      <c r="E13" s="122" t="e">
        <f>VLOOKUP(Table257519913140106110151155160[[#This Row],[PEG]],Table1016[#All],3,FALSE)</f>
        <v>#N/A</v>
      </c>
    </row>
    <row r="14" spans="1:5">
      <c r="A14" s="114">
        <v>7</v>
      </c>
      <c r="B14" s="110" t="s">
        <v>114</v>
      </c>
      <c r="C14" s="105" t="e">
        <f>VLOOKUP(Table257519913140106110151155160[[#This Row],[PEG]],Table1016[#All],2,FALSE)</f>
        <v>#N/A</v>
      </c>
      <c r="D14" s="125"/>
      <c r="E14" s="122" t="e">
        <f>VLOOKUP(Table257519913140106110151155160[[#This Row],[PEG]],Table1016[#All],3,FALSE)</f>
        <v>#N/A</v>
      </c>
    </row>
    <row r="15" spans="1:5">
      <c r="A15" s="114">
        <v>8</v>
      </c>
      <c r="B15" s="110" t="s">
        <v>115</v>
      </c>
      <c r="C15" s="105" t="e">
        <f>VLOOKUP(Table257519913140106110151155160[[#This Row],[PEG]],Table1016[#All],2,FALSE)</f>
        <v>#N/A</v>
      </c>
      <c r="D15" s="112"/>
      <c r="E15" s="122" t="e">
        <f>VLOOKUP(Table257519913140106110151155160[[#This Row],[PEG]],Table1016[#All],3,FALSE)</f>
        <v>#N/A</v>
      </c>
    </row>
    <row r="16" spans="1:5">
      <c r="A16" s="114">
        <v>9</v>
      </c>
      <c r="B16" s="110" t="s">
        <v>12</v>
      </c>
      <c r="C16" s="105" t="e">
        <f>VLOOKUP(Table257519913140106110151155160[[#This Row],[PEG]],Table1016[#All],2,FALSE)</f>
        <v>#N/A</v>
      </c>
      <c r="D16" s="112"/>
      <c r="E16" s="122" t="e">
        <f>VLOOKUP(Table257519913140106110151155160[[#This Row],[PEG]],Table1016[#All],3,FALSE)</f>
        <v>#N/A</v>
      </c>
    </row>
    <row r="17" spans="1:5">
      <c r="A17" s="114">
        <v>10</v>
      </c>
      <c r="B17" s="110" t="s">
        <v>12</v>
      </c>
      <c r="C17" s="105" t="e">
        <f>VLOOKUP(Table257519913140106110151155160[[#This Row],[PEG]],Table1016[#All],2,FALSE)</f>
        <v>#N/A</v>
      </c>
      <c r="D17" s="113"/>
      <c r="E17" s="122" t="e">
        <f>VLOOKUP(Table257519913140106110151155160[[#This Row],[PEG]],Table1016[#All],3,FALSE)</f>
        <v>#N/A</v>
      </c>
    </row>
    <row r="18" spans="1:5">
      <c r="A18" s="114">
        <v>11</v>
      </c>
      <c r="B18" s="110" t="s">
        <v>115</v>
      </c>
      <c r="C18" s="105" t="e">
        <f>VLOOKUP(Table257519913140106110151155160[[#This Row],[PEG]],Table1016[#All],2,FALSE)</f>
        <v>#N/A</v>
      </c>
      <c r="D18" s="113"/>
      <c r="E18" s="122" t="e">
        <f>VLOOKUP(Table257519913140106110151155160[[#This Row],[PEG]],Table1016[#All],3,FALSE)</f>
        <v>#N/A</v>
      </c>
    </row>
    <row r="19" spans="1:5">
      <c r="A19" s="114">
        <v>12</v>
      </c>
      <c r="B19" s="110" t="s">
        <v>115</v>
      </c>
      <c r="C19" s="105" t="e">
        <f>VLOOKUP(Table257519913140106110151155160[[#This Row],[PEG]],Table1016[#All],2,FALSE)</f>
        <v>#N/A</v>
      </c>
      <c r="D19" s="113"/>
      <c r="E19" s="122" t="e">
        <f>VLOOKUP(Table257519913140106110151155160[[#This Row],[PEG]],Table1016[#All],3,FALSE)</f>
        <v>#N/A</v>
      </c>
    </row>
    <row r="20" spans="1:5">
      <c r="A20" s="114">
        <v>13</v>
      </c>
      <c r="B20" s="110" t="s">
        <v>114</v>
      </c>
      <c r="C20" s="105" t="e">
        <f>VLOOKUP(Table257519913140106110151155160[[#This Row],[PEG]],Table1016[#All],2,FALSE)</f>
        <v>#N/A</v>
      </c>
      <c r="D20" s="113"/>
      <c r="E20" s="122" t="e">
        <f>VLOOKUP(Table257519913140106110151155160[[#This Row],[PEG]],Table1016[#All],3,FALSE)</f>
        <v>#N/A</v>
      </c>
    </row>
    <row r="21" spans="1:5">
      <c r="A21" s="114">
        <v>14</v>
      </c>
      <c r="B21" s="110" t="s">
        <v>12</v>
      </c>
      <c r="C21" s="105" t="e">
        <f>VLOOKUP(Table257519913140106110151155160[[#This Row],[PEG]],Table1016[#All],2,FALSE)</f>
        <v>#N/A</v>
      </c>
      <c r="D21" s="113"/>
      <c r="E21" s="122" t="e">
        <f>VLOOKUP(Table257519913140106110151155160[[#This Row],[PEG]],Table1016[#All],3,FALSE)</f>
        <v>#N/A</v>
      </c>
    </row>
    <row r="22" spans="1:5">
      <c r="A22" s="114">
        <v>15</v>
      </c>
      <c r="B22" s="110" t="s">
        <v>12</v>
      </c>
      <c r="C22" s="105" t="e">
        <f>VLOOKUP(Table257519913140106110151155160[[#This Row],[PEG]],Table1016[#All],2,FALSE)</f>
        <v>#N/A</v>
      </c>
      <c r="D22" s="113"/>
      <c r="E22" s="122" t="e">
        <f>VLOOKUP(Table257519913140106110151155160[[#This Row],[PEG]],Table1016[#All],3,FALSE)</f>
        <v>#N/A</v>
      </c>
    </row>
    <row r="23" spans="1:5">
      <c r="A23" s="114">
        <v>16</v>
      </c>
      <c r="B23" s="110" t="s">
        <v>115</v>
      </c>
      <c r="C23" s="105" t="e">
        <f>VLOOKUP(Table257519913140106110151155160[[#This Row],[PEG]],Table1016[#All],2,FALSE)</f>
        <v>#N/A</v>
      </c>
      <c r="D23" s="113"/>
      <c r="E23" s="122" t="e">
        <f>VLOOKUP(Table257519913140106110151155160[[#This Row],[PEG]],Table1016[#All],3,FALSE)</f>
        <v>#N/A</v>
      </c>
    </row>
    <row r="24" spans="1:5">
      <c r="A24" s="114">
        <v>17</v>
      </c>
      <c r="B24" s="110" t="s">
        <v>114</v>
      </c>
      <c r="C24" s="105" t="e">
        <f>VLOOKUP(Table257519913140106110151155160[[#This Row],[PEG]],Table1016[#All],2,FALSE)</f>
        <v>#N/A</v>
      </c>
      <c r="D24" s="113"/>
      <c r="E24" s="122" t="e">
        <f>VLOOKUP(Table257519913140106110151155160[[#This Row],[PEG]],Table1016[#All],3,FALSE)</f>
        <v>#N/A</v>
      </c>
    </row>
    <row r="25" spans="1:5">
      <c r="A25" s="114">
        <v>18</v>
      </c>
      <c r="B25" s="110" t="s">
        <v>12</v>
      </c>
      <c r="C25" s="105" t="e">
        <f>VLOOKUP(Table257519913140106110151155160[[#This Row],[PEG]],Table1016[#All],2,FALSE)</f>
        <v>#N/A</v>
      </c>
      <c r="D25" s="113"/>
      <c r="E25" s="122" t="e">
        <f>VLOOKUP(Table257519913140106110151155160[[#This Row],[PEG]],Table1016[#All],3,FALSE)</f>
        <v>#N/A</v>
      </c>
    </row>
    <row r="26" spans="1:5">
      <c r="A26" s="114">
        <v>19</v>
      </c>
      <c r="B26" s="110" t="s">
        <v>12</v>
      </c>
      <c r="C26" s="105" t="e">
        <f>VLOOKUP(Table257519913140106110151155160[[#This Row],[PEG]],Table1016[#All],2,FALSE)</f>
        <v>#N/A</v>
      </c>
      <c r="D26" s="113"/>
      <c r="E26" s="122" t="e">
        <f>VLOOKUP(Table257519913140106110151155160[[#This Row],[PEG]],Table1016[#All],3,FALSE)</f>
        <v>#N/A</v>
      </c>
    </row>
    <row r="27" spans="1:5">
      <c r="A27" s="114">
        <v>20</v>
      </c>
      <c r="B27" s="110" t="s">
        <v>115</v>
      </c>
      <c r="C27" s="105" t="e">
        <f>VLOOKUP(Table257519913140106110151155160[[#This Row],[PEG]],Table1016[#All],2,FALSE)</f>
        <v>#N/A</v>
      </c>
      <c r="D27" s="113"/>
      <c r="E27" s="122" t="e">
        <f>VLOOKUP(Table257519913140106110151155160[[#This Row],[PEG]],Table1016[#All],3,FALSE)</f>
        <v>#N/A</v>
      </c>
    </row>
    <row r="28" spans="1:5">
      <c r="A28" s="114">
        <v>21</v>
      </c>
      <c r="B28" s="110" t="s">
        <v>114</v>
      </c>
      <c r="C28" s="105" t="e">
        <f>VLOOKUP(Table257519913140106110151155160[[#This Row],[PEG]],Table1016[#All],2,FALSE)</f>
        <v>#N/A</v>
      </c>
      <c r="D28" s="113"/>
      <c r="E28" s="122" t="e">
        <f>VLOOKUP(Table257519913140106110151155160[[#This Row],[PEG]],Table1016[#All],3,FALSE)</f>
        <v>#N/A</v>
      </c>
    </row>
    <row r="29" spans="1:5">
      <c r="A29" s="114">
        <v>22</v>
      </c>
      <c r="B29" s="110" t="s">
        <v>12</v>
      </c>
      <c r="C29" s="105" t="e">
        <f>VLOOKUP(Table257519913140106110151155160[[#This Row],[PEG]],Table1016[#All],2,FALSE)</f>
        <v>#N/A</v>
      </c>
      <c r="D29" s="113"/>
      <c r="E29" s="122" t="e">
        <f>VLOOKUP(Table257519913140106110151155160[[#This Row],[PEG]],Table1016[#All],3,FALSE)</f>
        <v>#N/A</v>
      </c>
    </row>
    <row r="30" spans="1:5">
      <c r="A30" s="114">
        <v>23</v>
      </c>
      <c r="B30" s="110" t="s">
        <v>12</v>
      </c>
      <c r="C30" s="105" t="e">
        <f>VLOOKUP(Table257519913140106110151155160[[#This Row],[PEG]],Table1016[#All],2,FALSE)</f>
        <v>#N/A</v>
      </c>
      <c r="D30" s="113"/>
      <c r="E30" s="122" t="e">
        <f>VLOOKUP(Table257519913140106110151155160[[#This Row],[PEG]],Table1016[#All],3,FALSE)</f>
        <v>#N/A</v>
      </c>
    </row>
    <row r="31" spans="1:5">
      <c r="A31" s="114">
        <v>24</v>
      </c>
      <c r="B31" s="110" t="s">
        <v>115</v>
      </c>
      <c r="C31" s="105" t="e">
        <f>VLOOKUP(Table257519913140106110151155160[[#This Row],[PEG]],Table1016[#All],2,FALSE)</f>
        <v>#N/A</v>
      </c>
      <c r="D31" s="113"/>
      <c r="E31" s="122" t="e">
        <f>VLOOKUP(Table257519913140106110151155160[[#This Row],[PEG]],Table1016[#All],3,FALSE)</f>
        <v>#N/A</v>
      </c>
    </row>
    <row r="32" spans="1:5">
      <c r="A32" s="114">
        <v>25</v>
      </c>
      <c r="B32" s="110" t="s">
        <v>115</v>
      </c>
      <c r="C32" s="105" t="e">
        <f>VLOOKUP(Table257519913140106110151155160[[#This Row],[PEG]],Table1016[#All],2,FALSE)</f>
        <v>#N/A</v>
      </c>
      <c r="D32" s="113"/>
      <c r="E32" s="122" t="e">
        <f>VLOOKUP(Table257519913140106110151155160[[#This Row],[PEG]],Table1016[#All],3,FALSE)</f>
        <v>#N/A</v>
      </c>
    </row>
    <row r="33" spans="1:5">
      <c r="A33" s="114">
        <v>26</v>
      </c>
      <c r="B33" s="110" t="s">
        <v>124</v>
      </c>
      <c r="C33" s="105" t="e">
        <f>VLOOKUP(Table257519913140106110151155160[[#This Row],[PEG]],Table1016[#All],2,FALSE)</f>
        <v>#N/A</v>
      </c>
      <c r="D33" s="113"/>
      <c r="E33" s="122" t="e">
        <f>VLOOKUP(Table257519913140106110151155160[[#This Row],[PEG]],Table1016[#All],3,FALSE)</f>
        <v>#N/A</v>
      </c>
    </row>
    <row r="34" spans="1:5">
      <c r="A34" s="114">
        <v>27</v>
      </c>
      <c r="B34" s="110" t="s">
        <v>115</v>
      </c>
      <c r="C34" s="105" t="e">
        <f>VLOOKUP(Table257519913140106110151155160[[#This Row],[PEG]],Table1016[#All],2,FALSE)</f>
        <v>#N/A</v>
      </c>
      <c r="D34" s="113"/>
      <c r="E34" s="122" t="e">
        <f>VLOOKUP(Table257519913140106110151155160[[#This Row],[PEG]],Table1016[#All],3,FALSE)</f>
        <v>#N/A</v>
      </c>
    </row>
    <row r="35" spans="1:5">
      <c r="A35" s="114">
        <v>28</v>
      </c>
      <c r="B35" s="110" t="s">
        <v>124</v>
      </c>
      <c r="C35" s="105" t="e">
        <f>VLOOKUP(Table257519913140106110151155160[[#This Row],[PEG]],Table1016[#All],2,FALSE)</f>
        <v>#N/A</v>
      </c>
      <c r="D35" s="113"/>
      <c r="E35" s="122" t="e">
        <f>VLOOKUP(Table257519913140106110151155160[[#This Row],[PEG]],Table1016[#All],3,FALSE)</f>
        <v>#N/A</v>
      </c>
    </row>
    <row r="36" spans="1:5">
      <c r="A36" s="114">
        <v>29</v>
      </c>
      <c r="B36" s="110" t="s">
        <v>115</v>
      </c>
      <c r="C36" s="105" t="e">
        <f>VLOOKUP(Table257519913140106110151155160[[#This Row],[PEG]],Table1016[#All],2,FALSE)</f>
        <v>#N/A</v>
      </c>
      <c r="D36" s="113"/>
      <c r="E36" s="122" t="e">
        <f>VLOOKUP(Table257519913140106110151155160[[#This Row],[PEG]],Table1016[#All],3,FALSE)</f>
        <v>#N/A</v>
      </c>
    </row>
    <row r="37" spans="1:5">
      <c r="A37" s="114">
        <v>30</v>
      </c>
      <c r="B37" s="110" t="s">
        <v>12</v>
      </c>
      <c r="C37" s="105" t="e">
        <f>VLOOKUP(Table257519913140106110151155160[[#This Row],[PEG]],Table1016[#All],2,FALSE)</f>
        <v>#N/A</v>
      </c>
      <c r="D37" s="113"/>
      <c r="E37" s="122" t="e">
        <f>VLOOKUP(Table257519913140106110151155160[[#This Row],[PEG]],Table1016[#All],3,FALSE)</f>
        <v>#N/A</v>
      </c>
    </row>
    <row r="38" spans="1:5">
      <c r="A38" s="114">
        <v>31</v>
      </c>
      <c r="B38" s="110" t="s">
        <v>12</v>
      </c>
      <c r="C38" s="105" t="e">
        <f>VLOOKUP(Table257519913140106110151155160[[#This Row],[PEG]],Table1016[#All],2,FALSE)</f>
        <v>#N/A</v>
      </c>
      <c r="D38" s="113"/>
      <c r="E38" s="122" t="e">
        <f>VLOOKUP(Table257519913140106110151155160[[#This Row],[PEG]],Table1016[#All],3,FALSE)</f>
        <v>#N/A</v>
      </c>
    </row>
    <row r="39" spans="1:5">
      <c r="A39" s="114">
        <v>32</v>
      </c>
      <c r="B39" s="110" t="s">
        <v>12</v>
      </c>
      <c r="C39" s="105" t="e">
        <f>VLOOKUP(Table257519913140106110151155160[[#This Row],[PEG]],Table1016[#All],2,FALSE)</f>
        <v>#N/A</v>
      </c>
      <c r="D39" s="113"/>
      <c r="E39" s="122" t="e">
        <f>VLOOKUP(Table257519913140106110151155160[[#This Row],[PEG]],Table1016[#All],3,FALSE)</f>
        <v>#N/A</v>
      </c>
    </row>
    <row r="40" spans="1:5">
      <c r="A40" s="114">
        <v>33</v>
      </c>
      <c r="B40" s="110" t="s">
        <v>12</v>
      </c>
      <c r="C40" s="105" t="e">
        <f>VLOOKUP(Table257519913140106110151155160[[#This Row],[PEG]],Table1016[#All],2,FALSE)</f>
        <v>#N/A</v>
      </c>
      <c r="D40" s="113"/>
      <c r="E40" s="122" t="e">
        <f>VLOOKUP(Table257519913140106110151155160[[#This Row],[PEG]],Table1016[#All],3,FALSE)</f>
        <v>#N/A</v>
      </c>
    </row>
    <row r="41" spans="1:5">
      <c r="A41" s="114">
        <v>34</v>
      </c>
      <c r="B41" s="110" t="s">
        <v>115</v>
      </c>
      <c r="C41" s="105" t="e">
        <f>VLOOKUP(Table257519913140106110151155160[[#This Row],[PEG]],Table1016[#All],2,FALSE)</f>
        <v>#N/A</v>
      </c>
      <c r="D41" s="113"/>
      <c r="E41" s="122" t="e">
        <f>VLOOKUP(Table257519913140106110151155160[[#This Row],[PEG]],Table1016[#All],3,FALSE)</f>
        <v>#N/A</v>
      </c>
    </row>
    <row r="42" spans="1:5">
      <c r="A42" s="114">
        <v>35</v>
      </c>
      <c r="B42" s="110" t="s">
        <v>12</v>
      </c>
      <c r="C42" s="105" t="e">
        <f>VLOOKUP(Table257519913140106110151155160[[#This Row],[PEG]],Table1016[#All],2,FALSE)</f>
        <v>#N/A</v>
      </c>
      <c r="D42" s="111"/>
      <c r="E42" s="122" t="e">
        <f>VLOOKUP(Table257519913140106110151155160[[#This Row],[PEG]],Table1016[#All],3,FALSE)</f>
        <v>#N/A</v>
      </c>
    </row>
    <row r="43" spans="1:5">
      <c r="A43" s="114">
        <v>36</v>
      </c>
      <c r="B43" s="110" t="s">
        <v>115</v>
      </c>
      <c r="C43" s="105" t="e">
        <f>VLOOKUP(Table257519913140106110151155160[[#This Row],[PEG]],Table1016[#All],2,FALSE)</f>
        <v>#N/A</v>
      </c>
      <c r="D43" s="111"/>
      <c r="E43" s="122" t="e">
        <f>VLOOKUP(Table257519913140106110151155160[[#This Row],[PEG]],Table1016[#All],3,FALSE)</f>
        <v>#N/A</v>
      </c>
    </row>
    <row r="44" spans="1:5">
      <c r="A44" s="114">
        <v>37</v>
      </c>
      <c r="B44" s="110" t="s">
        <v>13</v>
      </c>
      <c r="C44" s="17" t="s">
        <v>13</v>
      </c>
      <c r="D44" s="111"/>
      <c r="E44" s="31"/>
    </row>
  </sheetData>
  <mergeCells count="1">
    <mergeCell ref="A1:B1"/>
  </mergeCells>
  <conditionalFormatting sqref="B8:B18">
    <cfRule type="containsText" dxfId="2155" priority="1" operator="containsText" text="Hear">
      <formula>NOT(ISERROR(SEARCH("Hear",B8)))</formula>
    </cfRule>
  </conditionalFormatting>
  <conditionalFormatting sqref="B30">
    <cfRule type="containsText" dxfId="2154" priority="4" operator="containsText" text="Hear">
      <formula>NOT(ISERROR(SEARCH("Hear",B30)))</formula>
    </cfRule>
  </conditionalFormatting>
  <conditionalFormatting sqref="B43:B44">
    <cfRule type="containsText" dxfId="2153" priority="8" operator="containsText" text="Hear">
      <formula>NOT(ISERROR(SEARCH("Hear",B43)))</formula>
    </cfRule>
  </conditionalFormatting>
  <conditionalFormatting sqref="E44">
    <cfRule type="containsText" dxfId="2152" priority="6" operator="containsText" text="WEB SERVICE">
      <formula>NOT(ISERROR(SEARCH("WEB SERVICE",E44)))</formula>
    </cfRule>
    <cfRule type="containsText" dxfId="2151" priority="7" operator="containsText" text="DB">
      <formula>NOT(ISERROR(SEARCH("DB",E44)))</formula>
    </cfRule>
  </conditionalFormatting>
  <conditionalFormatting sqref="C44">
    <cfRule type="expression" dxfId="2150" priority="9">
      <formula>$B44="HANGUP"</formula>
    </cfRule>
    <cfRule type="expression" dxfId="2149" priority="9">
      <formula>$B44="Dial"</formula>
    </cfRule>
  </conditionalFormatting>
  <conditionalFormatting sqref="C44">
    <cfRule type="expression" dxfId="2148" priority="3">
      <formula>$B44="Speak"</formula>
    </cfRule>
  </conditionalFormatting>
  <conditionalFormatting sqref="B36:B38 B40:B41">
    <cfRule type="containsText" dxfId="2147" priority="10" operator="containsText" text="Hear">
      <formula>NOT(ISERROR(SEARCH("Hear",B36)))</formula>
    </cfRule>
  </conditionalFormatting>
  <conditionalFormatting sqref="B19:B29 B31:B35 B42">
    <cfRule type="containsText" dxfId="2146" priority="5" operator="containsText" text="Hear">
      <formula>NOT(ISERROR(SEARCH("Hear",B19)))</formula>
    </cfRule>
  </conditionalFormatting>
  <hyperlinks>
    <hyperlink ref="A1" location="'Test Case Overview'!A1" display="Return to Test Case Overview" xr:uid="{00000000-0004-0000-7E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B961FC19-9373-4D23-8B6F-29EC0EF15534}">
            <xm:f>'TC1'!$B8="HANGUP"</xm:f>
            <x14:dxf>
              <font>
                <b/>
                <i val="0"/>
              </font>
            </x14:dxf>
          </x14:cfRule>
          <x14:cfRule type="expression" priority="11" id="{C2EBF0B1-2834-411B-A7C6-8E355E354AAC}">
            <xm:f>'TC1'!$B8="Dial"</xm:f>
            <x14:dxf>
              <font>
                <b/>
                <i val="0"/>
                <color rgb="FFFF0000"/>
              </font>
            </x14:dxf>
          </x14:cfRule>
          <xm:sqref>C8</xm:sqref>
        </x14:conditionalFormatting>
        <x14:conditionalFormatting xmlns:xm="http://schemas.microsoft.com/office/excel/2006/main">
          <x14:cfRule type="expression" priority="12" id="{61951449-ADBA-482C-868B-3772DCEF3CC6}">
            <xm:f>'TC1'!$B8="Speak"</xm:f>
            <x14:dxf>
              <font>
                <b/>
                <i val="0"/>
                <color rgb="FFFF0000"/>
              </font>
            </x14:dxf>
          </x14:cfRule>
          <xm:sqref>C8</xm:sqref>
        </x14:conditionalFormatting>
        <x14:conditionalFormatting xmlns:xm="http://schemas.microsoft.com/office/excel/2006/main">
          <x14:cfRule type="containsText" priority="13" operator="containsText" text="DB" id="{B5C1CC18-7E47-4C40-8CD9-CBCA33A36399}">
            <xm:f>NOT(ISERROR(SEARCH("DB",'TC1'!E10)))</xm:f>
            <x14:dxf>
              <font>
                <color rgb="FF006100"/>
              </font>
              <fill>
                <patternFill>
                  <bgColor rgb="FFC6EFCE"/>
                </patternFill>
              </fill>
            </x14:dxf>
          </x14:cfRule>
          <x14:cfRule type="containsText" priority="13" operator="containsText" text="WEB SERVICE" id="{15FC902A-40A9-4323-A09F-2C07D3DF5173}">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containsText" priority="15" operator="containsText" text="Hear" id="{FA0B5168-6463-497A-8519-A1735BA92E53}">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786" id="{B961FC19-9373-4D23-8B6F-29EC0EF15534}">
            <xm:f>'TC1'!$B14="HANGUP"</xm:f>
            <x14:dxf>
              <font>
                <b/>
                <i val="0"/>
              </font>
            </x14:dxf>
          </x14:cfRule>
          <x14:cfRule type="expression" priority="2787" id="{C2EBF0B1-2834-411B-A7C6-8E355E354AAC}">
            <xm:f>'TC1'!$B14="Dial"</xm:f>
            <x14:dxf>
              <font>
                <b/>
                <i val="0"/>
                <color rgb="FFFF0000"/>
              </font>
            </x14:dxf>
          </x14:cfRule>
          <xm:sqref>C34:C43</xm:sqref>
        </x14:conditionalFormatting>
        <x14:conditionalFormatting xmlns:xm="http://schemas.microsoft.com/office/excel/2006/main">
          <x14:cfRule type="expression" priority="2788" id="{B961FC19-9373-4D23-8B6F-29EC0EF15534}">
            <xm:f>'TC1'!#REF!="HANGUP"</xm:f>
            <x14:dxf>
              <font>
                <b/>
                <i val="0"/>
              </font>
            </x14:dxf>
          </x14:cfRule>
          <x14:cfRule type="expression" priority="2789" id="{C2EBF0B1-2834-411B-A7C6-8E355E354AAC}">
            <xm:f>'TC1'!#REF!="Dial"</xm:f>
            <x14:dxf>
              <font>
                <b/>
                <i val="0"/>
                <color rgb="FFFF0000"/>
              </font>
            </x14:dxf>
          </x14:cfRule>
          <xm:sqref>C13:C33</xm:sqref>
        </x14:conditionalFormatting>
        <x14:conditionalFormatting xmlns:xm="http://schemas.microsoft.com/office/excel/2006/main">
          <x14:cfRule type="expression" priority="2793" id="{61951449-ADBA-482C-868B-3772DCEF3CC6}">
            <xm:f>'TC1'!$B14="Speak"</xm:f>
            <x14:dxf>
              <font>
                <b/>
                <i val="0"/>
                <color rgb="FFFF0000"/>
              </font>
            </x14:dxf>
          </x14:cfRule>
          <xm:sqref>C34:C43</xm:sqref>
        </x14:conditionalFormatting>
        <x14:conditionalFormatting xmlns:xm="http://schemas.microsoft.com/office/excel/2006/main">
          <x14:cfRule type="expression" priority="2794" id="{61951449-ADBA-482C-868B-3772DCEF3CC6}">
            <xm:f>'TC1'!#REF!="Speak"</xm:f>
            <x14:dxf>
              <font>
                <b/>
                <i val="0"/>
                <color rgb="FFFF0000"/>
              </font>
            </x14:dxf>
          </x14:cfRule>
          <xm:sqref>C13:C33</xm:sqref>
        </x14:conditionalFormatting>
        <x14:conditionalFormatting xmlns:xm="http://schemas.microsoft.com/office/excel/2006/main">
          <x14:cfRule type="containsText" priority="2798" operator="containsText" text="DB" id="{B5C1CC18-7E47-4C40-8CD9-CBCA33A36399}">
            <xm:f>NOT(ISERROR(SEARCH("DB",'TC1'!E14)))</xm:f>
            <x14:dxf>
              <font>
                <color rgb="FF006100"/>
              </font>
              <fill>
                <patternFill>
                  <bgColor rgb="FFC6EFCE"/>
                </patternFill>
              </fill>
            </x14:dxf>
          </x14:cfRule>
          <x14:cfRule type="containsText" priority="2799" operator="containsText" text="WEB SERVICE" id="{15FC902A-40A9-4323-A09F-2C07D3DF5173}">
            <xm:f>NOT(ISERROR(SEARCH("WEB SERVICE",'TC1'!E14)))</xm:f>
            <x14:dxf>
              <font>
                <color rgb="FF9C0006"/>
              </font>
              <fill>
                <patternFill>
                  <bgColor rgb="FFFFC7CE"/>
                </patternFill>
              </fill>
            </x14:dxf>
          </x14:cfRule>
          <xm:sqref>E34:E43</xm:sqref>
        </x14:conditionalFormatting>
        <x14:conditionalFormatting xmlns:xm="http://schemas.microsoft.com/office/excel/2006/main">
          <x14:cfRule type="containsText" priority="2800" operator="containsText" text="DB" id="{B5C1CC18-7E47-4C40-8CD9-CBCA33A36399}">
            <xm:f>NOT(ISERROR(SEARCH("DB",'TC1'!#REF!)))</xm:f>
            <x14:dxf>
              <font>
                <color rgb="FF006100"/>
              </font>
              <fill>
                <patternFill>
                  <bgColor rgb="FFC6EFCE"/>
                </patternFill>
              </fill>
            </x14:dxf>
          </x14:cfRule>
          <x14:cfRule type="containsText" priority="2801" operator="containsText" text="WEB SERVICE" id="{15FC902A-40A9-4323-A09F-2C07D3DF5173}">
            <xm:f>NOT(ISERROR(SEARCH("WEB SERVICE",'TC1'!#REF!)))</xm:f>
            <x14:dxf>
              <font>
                <color rgb="FF9C0006"/>
              </font>
              <fill>
                <patternFill>
                  <bgColor rgb="FFFFC7CE"/>
                </patternFill>
              </fill>
            </x14:dxf>
          </x14:cfRule>
          <xm:sqref>E13:E33</xm:sqref>
        </x14:conditionalFormatting>
        <x14:conditionalFormatting xmlns:xm="http://schemas.microsoft.com/office/excel/2006/main">
          <x14:cfRule type="expression" priority="4366" id="{B961FC19-9373-4D23-8B6F-29EC0EF15534}">
            <xm:f>'TC1'!$B10="HANGUP"</xm:f>
            <x14:dxf>
              <font>
                <b/>
                <i val="0"/>
              </font>
            </x14:dxf>
          </x14:cfRule>
          <x14:cfRule type="expression" priority="4367" id="{C2EBF0B1-2834-411B-A7C6-8E355E354AAC}">
            <xm:f>'TC1'!$B10="Dial"</xm:f>
            <x14:dxf>
              <font>
                <b/>
                <i val="0"/>
                <color rgb="FFFF0000"/>
              </font>
            </x14:dxf>
          </x14:cfRule>
          <xm:sqref>C9:C12</xm:sqref>
        </x14:conditionalFormatting>
        <x14:conditionalFormatting xmlns:xm="http://schemas.microsoft.com/office/excel/2006/main">
          <x14:cfRule type="expression" priority="4369" id="{61951449-ADBA-482C-868B-3772DCEF3CC6}">
            <xm:f>'TC1'!$B10="Speak"</xm:f>
            <x14:dxf>
              <font>
                <b/>
                <i val="0"/>
                <color rgb="FFFF0000"/>
              </font>
            </x14:dxf>
          </x14:cfRule>
          <xm:sqref>C9:C12</xm:sqref>
        </x14:conditionalFormatting>
        <x14:conditionalFormatting xmlns:xm="http://schemas.microsoft.com/office/excel/2006/main">
          <x14:cfRule type="containsText" priority="6168" operator="containsText" text="Hear" id="{5400486E-EE8A-4675-A380-6F60A0F366DA}">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sheetPr codeName="Sheet129"/>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TC127</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VLOOKUP(Table257519913140106110151155162[[#This Row],[PEG]],Table1016[#All],2,FALSE)</f>
        <v>#N/A</v>
      </c>
      <c r="D9" s="125"/>
      <c r="E9" s="122" t="e">
        <f>VLOOKUP(Table257519913140106110151155162[[#This Row],[PEG]],Table1016[#All],3,FALSE)</f>
        <v>#N/A</v>
      </c>
    </row>
    <row r="10" spans="1:5">
      <c r="A10" s="114">
        <v>3</v>
      </c>
      <c r="B10" s="110" t="s">
        <v>115</v>
      </c>
      <c r="C10" s="105" t="e">
        <f>VLOOKUP(Table257519913140106110151155162[[#This Row],[PEG]],Table1016[#All],2,FALSE)</f>
        <v>#N/A</v>
      </c>
      <c r="D10" s="125"/>
      <c r="E10" s="122" t="e">
        <f>VLOOKUP(Table257519913140106110151155162[[#This Row],[PEG]],Table1016[#All],3,FALSE)</f>
        <v>#N/A</v>
      </c>
    </row>
    <row r="11" spans="1:5">
      <c r="A11" s="114">
        <v>4</v>
      </c>
      <c r="B11" s="110" t="s">
        <v>115</v>
      </c>
      <c r="C11" s="105" t="e">
        <f>VLOOKUP(Table257519913140106110151155162[[#This Row],[PEG]],Table1016[#All],2,FALSE)</f>
        <v>#N/A</v>
      </c>
      <c r="D11" s="125"/>
      <c r="E11" s="122" t="e">
        <f>VLOOKUP(Table257519913140106110151155162[[#This Row],[PEG]],Table1016[#All],3,FALSE)</f>
        <v>#N/A</v>
      </c>
    </row>
    <row r="12" spans="1:5">
      <c r="A12" s="114">
        <v>5</v>
      </c>
      <c r="B12" s="110" t="s">
        <v>114</v>
      </c>
      <c r="C12" s="105" t="e">
        <f>VLOOKUP(Table257519913140106110151155162[[#This Row],[PEG]],Table1016[#All],2,FALSE)</f>
        <v>#N/A</v>
      </c>
      <c r="D12" s="125"/>
      <c r="E12" s="122" t="e">
        <f>VLOOKUP(Table257519913140106110151155162[[#This Row],[PEG]],Table1016[#All],3,FALSE)</f>
        <v>#N/A</v>
      </c>
    </row>
    <row r="13" spans="1:5">
      <c r="A13" s="114">
        <v>6</v>
      </c>
      <c r="B13" s="110" t="s">
        <v>115</v>
      </c>
      <c r="C13" s="105" t="e">
        <f>VLOOKUP(Table257519913140106110151155162[[#This Row],[PEG]],Table1016[#All],2,FALSE)</f>
        <v>#N/A</v>
      </c>
      <c r="D13" s="125"/>
      <c r="E13" s="122" t="e">
        <f>VLOOKUP(Table257519913140106110151155162[[#This Row],[PEG]],Table1016[#All],3,FALSE)</f>
        <v>#N/A</v>
      </c>
    </row>
    <row r="14" spans="1:5">
      <c r="A14" s="114">
        <v>7</v>
      </c>
      <c r="B14" s="110" t="s">
        <v>114</v>
      </c>
      <c r="C14" s="105" t="e">
        <f>VLOOKUP(Table257519913140106110151155162[[#This Row],[PEG]],Table1016[#All],2,FALSE)</f>
        <v>#N/A</v>
      </c>
      <c r="D14" s="125"/>
      <c r="E14" s="122" t="e">
        <f>VLOOKUP(Table257519913140106110151155162[[#This Row],[PEG]],Table1016[#All],3,FALSE)</f>
        <v>#N/A</v>
      </c>
    </row>
    <row r="15" spans="1:5">
      <c r="A15" s="114">
        <v>8</v>
      </c>
      <c r="B15" s="110" t="s">
        <v>115</v>
      </c>
      <c r="C15" s="105" t="e">
        <f>VLOOKUP(Table257519913140106110151155162[[#This Row],[PEG]],Table1016[#All],2,FALSE)</f>
        <v>#N/A</v>
      </c>
      <c r="D15" s="112"/>
      <c r="E15" s="122" t="e">
        <f>VLOOKUP(Table257519913140106110151155162[[#This Row],[PEG]],Table1016[#All],3,FALSE)</f>
        <v>#N/A</v>
      </c>
    </row>
    <row r="16" spans="1:5">
      <c r="A16" s="114">
        <v>9</v>
      </c>
      <c r="B16" s="110" t="s">
        <v>12</v>
      </c>
      <c r="C16" s="105" t="e">
        <f>VLOOKUP(Table257519913140106110151155162[[#This Row],[PEG]],Table1016[#All],2,FALSE)</f>
        <v>#N/A</v>
      </c>
      <c r="D16" s="112"/>
      <c r="E16" s="122" t="e">
        <f>VLOOKUP(Table257519913140106110151155162[[#This Row],[PEG]],Table1016[#All],3,FALSE)</f>
        <v>#N/A</v>
      </c>
    </row>
    <row r="17" spans="1:5">
      <c r="A17" s="114">
        <v>10</v>
      </c>
      <c r="B17" s="110" t="s">
        <v>12</v>
      </c>
      <c r="C17" s="105" t="e">
        <f>VLOOKUP(Table257519913140106110151155162[[#This Row],[PEG]],Table1016[#All],2,FALSE)</f>
        <v>#N/A</v>
      </c>
      <c r="D17" s="113"/>
      <c r="E17" s="122" t="e">
        <f>VLOOKUP(Table257519913140106110151155162[[#This Row],[PEG]],Table1016[#All],3,FALSE)</f>
        <v>#N/A</v>
      </c>
    </row>
    <row r="18" spans="1:5">
      <c r="A18" s="114">
        <v>11</v>
      </c>
      <c r="B18" s="110" t="s">
        <v>115</v>
      </c>
      <c r="C18" s="105" t="e">
        <f>VLOOKUP(Table257519913140106110151155162[[#This Row],[PEG]],Table1016[#All],2,FALSE)</f>
        <v>#N/A</v>
      </c>
      <c r="D18" s="113"/>
      <c r="E18" s="122" t="e">
        <f>VLOOKUP(Table257519913140106110151155162[[#This Row],[PEG]],Table1016[#All],3,FALSE)</f>
        <v>#N/A</v>
      </c>
    </row>
    <row r="19" spans="1:5">
      <c r="A19" s="114">
        <v>12</v>
      </c>
      <c r="B19" s="110" t="s">
        <v>115</v>
      </c>
      <c r="C19" s="105" t="e">
        <f>VLOOKUP(Table257519913140106110151155162[[#This Row],[PEG]],Table1016[#All],2,FALSE)</f>
        <v>#N/A</v>
      </c>
      <c r="D19" s="113"/>
      <c r="E19" s="122" t="e">
        <f>VLOOKUP(Table257519913140106110151155162[[#This Row],[PEG]],Table1016[#All],3,FALSE)</f>
        <v>#N/A</v>
      </c>
    </row>
    <row r="20" spans="1:5">
      <c r="A20" s="114">
        <v>13</v>
      </c>
      <c r="B20" s="110" t="s">
        <v>114</v>
      </c>
      <c r="C20" s="105" t="e">
        <f>VLOOKUP(Table257519913140106110151155162[[#This Row],[PEG]],Table1016[#All],2,FALSE)</f>
        <v>#N/A</v>
      </c>
      <c r="D20" s="113"/>
      <c r="E20" s="122" t="e">
        <f>VLOOKUP(Table257519913140106110151155162[[#This Row],[PEG]],Table1016[#All],3,FALSE)</f>
        <v>#N/A</v>
      </c>
    </row>
    <row r="21" spans="1:5">
      <c r="A21" s="114">
        <v>14</v>
      </c>
      <c r="B21" s="110" t="s">
        <v>12</v>
      </c>
      <c r="C21" s="105" t="e">
        <f>VLOOKUP(Table257519913140106110151155162[[#This Row],[PEG]],Table1016[#All],2,FALSE)</f>
        <v>#N/A</v>
      </c>
      <c r="D21" s="113"/>
      <c r="E21" s="122" t="e">
        <f>VLOOKUP(Table257519913140106110151155162[[#This Row],[PEG]],Table1016[#All],3,FALSE)</f>
        <v>#N/A</v>
      </c>
    </row>
    <row r="22" spans="1:5">
      <c r="A22" s="114">
        <v>15</v>
      </c>
      <c r="B22" s="110" t="s">
        <v>12</v>
      </c>
      <c r="C22" s="105" t="e">
        <f>VLOOKUP(Table257519913140106110151155162[[#This Row],[PEG]],Table1016[#All],2,FALSE)</f>
        <v>#N/A</v>
      </c>
      <c r="D22" s="113"/>
      <c r="E22" s="122" t="e">
        <f>VLOOKUP(Table257519913140106110151155162[[#This Row],[PEG]],Table1016[#All],3,FALSE)</f>
        <v>#N/A</v>
      </c>
    </row>
    <row r="23" spans="1:5">
      <c r="A23" s="114">
        <v>16</v>
      </c>
      <c r="B23" s="110" t="s">
        <v>115</v>
      </c>
      <c r="C23" s="105" t="e">
        <f>VLOOKUP(Table257519913140106110151155162[[#This Row],[PEG]],Table1016[#All],2,FALSE)</f>
        <v>#N/A</v>
      </c>
      <c r="D23" s="113"/>
      <c r="E23" s="122" t="e">
        <f>VLOOKUP(Table257519913140106110151155162[[#This Row],[PEG]],Table1016[#All],3,FALSE)</f>
        <v>#N/A</v>
      </c>
    </row>
    <row r="24" spans="1:5">
      <c r="A24" s="114">
        <v>17</v>
      </c>
      <c r="B24" s="110" t="s">
        <v>114</v>
      </c>
      <c r="C24" s="105" t="e">
        <f>VLOOKUP(Table257519913140106110151155162[[#This Row],[PEG]],Table1016[#All],2,FALSE)</f>
        <v>#N/A</v>
      </c>
      <c r="D24" s="113"/>
      <c r="E24" s="122" t="e">
        <f>VLOOKUP(Table257519913140106110151155162[[#This Row],[PEG]],Table1016[#All],3,FALSE)</f>
        <v>#N/A</v>
      </c>
    </row>
    <row r="25" spans="1:5">
      <c r="A25" s="114">
        <v>18</v>
      </c>
      <c r="B25" s="110" t="s">
        <v>12</v>
      </c>
      <c r="C25" s="105" t="e">
        <f>VLOOKUP(Table257519913140106110151155162[[#This Row],[PEG]],Table1016[#All],2,FALSE)</f>
        <v>#N/A</v>
      </c>
      <c r="D25" s="113"/>
      <c r="E25" s="122" t="e">
        <f>VLOOKUP(Table257519913140106110151155162[[#This Row],[PEG]],Table1016[#All],3,FALSE)</f>
        <v>#N/A</v>
      </c>
    </row>
    <row r="26" spans="1:5">
      <c r="A26" s="114">
        <v>19</v>
      </c>
      <c r="B26" s="110" t="s">
        <v>12</v>
      </c>
      <c r="C26" s="105" t="e">
        <f>VLOOKUP(Table257519913140106110151155162[[#This Row],[PEG]],Table1016[#All],2,FALSE)</f>
        <v>#N/A</v>
      </c>
      <c r="D26" s="113"/>
      <c r="E26" s="122" t="e">
        <f>VLOOKUP(Table257519913140106110151155162[[#This Row],[PEG]],Table1016[#All],3,FALSE)</f>
        <v>#N/A</v>
      </c>
    </row>
    <row r="27" spans="1:5">
      <c r="A27" s="114">
        <v>20</v>
      </c>
      <c r="B27" s="110" t="s">
        <v>115</v>
      </c>
      <c r="C27" s="105" t="e">
        <f>VLOOKUP(Table257519913140106110151155162[[#This Row],[PEG]],Table1016[#All],2,FALSE)</f>
        <v>#N/A</v>
      </c>
      <c r="D27" s="113"/>
      <c r="E27" s="122" t="e">
        <f>VLOOKUP(Table257519913140106110151155162[[#This Row],[PEG]],Table1016[#All],3,FALSE)</f>
        <v>#N/A</v>
      </c>
    </row>
    <row r="28" spans="1:5">
      <c r="A28" s="114">
        <v>21</v>
      </c>
      <c r="B28" s="110" t="s">
        <v>114</v>
      </c>
      <c r="C28" s="105" t="e">
        <f>VLOOKUP(Table257519913140106110151155162[[#This Row],[PEG]],Table1016[#All],2,FALSE)</f>
        <v>#N/A</v>
      </c>
      <c r="D28" s="113"/>
      <c r="E28" s="122" t="e">
        <f>VLOOKUP(Table257519913140106110151155162[[#This Row],[PEG]],Table1016[#All],3,FALSE)</f>
        <v>#N/A</v>
      </c>
    </row>
    <row r="29" spans="1:5">
      <c r="A29" s="114">
        <v>22</v>
      </c>
      <c r="B29" s="110" t="s">
        <v>12</v>
      </c>
      <c r="C29" s="105" t="e">
        <f>VLOOKUP(Table257519913140106110151155162[[#This Row],[PEG]],Table1016[#All],2,FALSE)</f>
        <v>#N/A</v>
      </c>
      <c r="D29" s="113"/>
      <c r="E29" s="122" t="e">
        <f>VLOOKUP(Table257519913140106110151155162[[#This Row],[PEG]],Table1016[#All],3,FALSE)</f>
        <v>#N/A</v>
      </c>
    </row>
    <row r="30" spans="1:5">
      <c r="A30" s="114">
        <v>23</v>
      </c>
      <c r="B30" s="110" t="s">
        <v>12</v>
      </c>
      <c r="C30" s="105" t="e">
        <f>VLOOKUP(Table257519913140106110151155162[[#This Row],[PEG]],Table1016[#All],2,FALSE)</f>
        <v>#N/A</v>
      </c>
      <c r="D30" s="113"/>
      <c r="E30" s="122" t="e">
        <f>VLOOKUP(Table257519913140106110151155162[[#This Row],[PEG]],Table1016[#All],3,FALSE)</f>
        <v>#N/A</v>
      </c>
    </row>
    <row r="31" spans="1:5">
      <c r="A31" s="114">
        <v>24</v>
      </c>
      <c r="B31" s="110" t="s">
        <v>115</v>
      </c>
      <c r="C31" s="105" t="e">
        <f>VLOOKUP(Table257519913140106110151155162[[#This Row],[PEG]],Table1016[#All],2,FALSE)</f>
        <v>#N/A</v>
      </c>
      <c r="D31" s="113"/>
      <c r="E31" s="122" t="e">
        <f>VLOOKUP(Table257519913140106110151155162[[#This Row],[PEG]],Table1016[#All],3,FALSE)</f>
        <v>#N/A</v>
      </c>
    </row>
    <row r="32" spans="1:5">
      <c r="A32" s="114">
        <v>25</v>
      </c>
      <c r="B32" s="110" t="s">
        <v>115</v>
      </c>
      <c r="C32" s="105" t="e">
        <f>VLOOKUP(Table257519913140106110151155162[[#This Row],[PEG]],Table1016[#All],2,FALSE)</f>
        <v>#N/A</v>
      </c>
      <c r="D32" s="113"/>
      <c r="E32" s="122" t="e">
        <f>VLOOKUP(Table257519913140106110151155162[[#This Row],[PEG]],Table1016[#All],3,FALSE)</f>
        <v>#N/A</v>
      </c>
    </row>
    <row r="33" spans="1:5">
      <c r="A33" s="114">
        <v>26</v>
      </c>
      <c r="B33" s="110" t="s">
        <v>124</v>
      </c>
      <c r="C33" s="105" t="e">
        <f>VLOOKUP(Table257519913140106110151155162[[#This Row],[PEG]],Table1016[#All],2,FALSE)</f>
        <v>#N/A</v>
      </c>
      <c r="D33" s="113"/>
      <c r="E33" s="122" t="e">
        <f>VLOOKUP(Table257519913140106110151155162[[#This Row],[PEG]],Table1016[#All],3,FALSE)</f>
        <v>#N/A</v>
      </c>
    </row>
    <row r="34" spans="1:5">
      <c r="A34" s="114">
        <v>27</v>
      </c>
      <c r="B34" s="110" t="s">
        <v>115</v>
      </c>
      <c r="C34" s="105" t="e">
        <f>VLOOKUP(Table257519913140106110151155162[[#This Row],[PEG]],Table1016[#All],2,FALSE)</f>
        <v>#N/A</v>
      </c>
      <c r="D34" s="113"/>
      <c r="E34" s="122" t="e">
        <f>VLOOKUP(Table257519913140106110151155162[[#This Row],[PEG]],Table1016[#All],3,FALSE)</f>
        <v>#N/A</v>
      </c>
    </row>
    <row r="35" spans="1:5">
      <c r="A35" s="114">
        <v>28</v>
      </c>
      <c r="B35" s="110" t="s">
        <v>124</v>
      </c>
      <c r="C35" s="105" t="e">
        <f>VLOOKUP(Table257519913140106110151155162[[#This Row],[PEG]],Table1016[#All],2,FALSE)</f>
        <v>#N/A</v>
      </c>
      <c r="D35" s="113"/>
      <c r="E35" s="122" t="e">
        <f>VLOOKUP(Table257519913140106110151155162[[#This Row],[PEG]],Table1016[#All],3,FALSE)</f>
        <v>#N/A</v>
      </c>
    </row>
    <row r="36" spans="1:5">
      <c r="A36" s="114">
        <v>29</v>
      </c>
      <c r="B36" s="110" t="s">
        <v>115</v>
      </c>
      <c r="C36" s="105" t="e">
        <f>VLOOKUP(Table257519913140106110151155162[[#This Row],[PEG]],Table1016[#All],2,FALSE)</f>
        <v>#N/A</v>
      </c>
      <c r="D36" s="113"/>
      <c r="E36" s="122" t="e">
        <f>VLOOKUP(Table257519913140106110151155162[[#This Row],[PEG]],Table1016[#All],3,FALSE)</f>
        <v>#N/A</v>
      </c>
    </row>
    <row r="37" spans="1:5">
      <c r="A37" s="114">
        <v>30</v>
      </c>
      <c r="B37" s="110" t="s">
        <v>12</v>
      </c>
      <c r="C37" s="105" t="e">
        <f>VLOOKUP(Table257519913140106110151155162[[#This Row],[PEG]],Table1016[#All],2,FALSE)</f>
        <v>#N/A</v>
      </c>
      <c r="D37" s="113"/>
      <c r="E37" s="122" t="e">
        <f>VLOOKUP(Table257519913140106110151155162[[#This Row],[PEG]],Table1016[#All],3,FALSE)</f>
        <v>#N/A</v>
      </c>
    </row>
    <row r="38" spans="1:5">
      <c r="A38" s="114">
        <v>31</v>
      </c>
      <c r="B38" s="110" t="s">
        <v>12</v>
      </c>
      <c r="C38" s="105" t="e">
        <f>VLOOKUP(Table257519913140106110151155162[[#This Row],[PEG]],Table1016[#All],2,FALSE)</f>
        <v>#N/A</v>
      </c>
      <c r="D38" s="113"/>
      <c r="E38" s="122" t="e">
        <f>VLOOKUP(Table257519913140106110151155162[[#This Row],[PEG]],Table1016[#All],3,FALSE)</f>
        <v>#N/A</v>
      </c>
    </row>
    <row r="39" spans="1:5">
      <c r="A39" s="114">
        <v>32</v>
      </c>
      <c r="B39" s="110" t="s">
        <v>12</v>
      </c>
      <c r="C39" s="105" t="e">
        <f>VLOOKUP(Table257519913140106110151155162[[#This Row],[PEG]],Table1016[#All],2,FALSE)</f>
        <v>#N/A</v>
      </c>
      <c r="D39" s="113"/>
      <c r="E39" s="122" t="e">
        <f>VLOOKUP(Table257519913140106110151155162[[#This Row],[PEG]],Table1016[#All],3,FALSE)</f>
        <v>#N/A</v>
      </c>
    </row>
    <row r="40" spans="1:5">
      <c r="A40" s="114">
        <v>33</v>
      </c>
      <c r="B40" s="110" t="s">
        <v>12</v>
      </c>
      <c r="C40" s="105" t="e">
        <f>VLOOKUP(Table257519913140106110151155162[[#This Row],[PEG]],Table1016[#All],2,FALSE)</f>
        <v>#N/A</v>
      </c>
      <c r="D40" s="113"/>
      <c r="E40" s="122" t="e">
        <f>VLOOKUP(Table257519913140106110151155162[[#This Row],[PEG]],Table1016[#All],3,FALSE)</f>
        <v>#N/A</v>
      </c>
    </row>
    <row r="41" spans="1:5">
      <c r="A41" s="114">
        <v>34</v>
      </c>
      <c r="B41" s="110" t="s">
        <v>115</v>
      </c>
      <c r="C41" s="105" t="e">
        <f>VLOOKUP(Table257519913140106110151155162[[#This Row],[PEG]],Table1016[#All],2,FALSE)</f>
        <v>#N/A</v>
      </c>
      <c r="D41" s="113"/>
      <c r="E41" s="122" t="e">
        <f>VLOOKUP(Table257519913140106110151155162[[#This Row],[PEG]],Table1016[#All],3,FALSE)</f>
        <v>#N/A</v>
      </c>
    </row>
    <row r="42" spans="1:5">
      <c r="A42" s="114">
        <v>35</v>
      </c>
      <c r="B42" s="110" t="s">
        <v>12</v>
      </c>
      <c r="C42" s="105" t="e">
        <f>VLOOKUP(Table257519913140106110151155162[[#This Row],[PEG]],Table1016[#All],2,FALSE)</f>
        <v>#N/A</v>
      </c>
      <c r="D42" s="111"/>
      <c r="E42" s="122" t="e">
        <f>VLOOKUP(Table257519913140106110151155162[[#This Row],[PEG]],Table1016[#All],3,FALSE)</f>
        <v>#N/A</v>
      </c>
    </row>
    <row r="43" spans="1:5">
      <c r="A43" s="114">
        <v>36</v>
      </c>
      <c r="B43" s="110" t="s">
        <v>115</v>
      </c>
      <c r="C43" s="105" t="e">
        <f>VLOOKUP(Table257519913140106110151155162[[#This Row],[PEG]],Table1016[#All],2,FALSE)</f>
        <v>#N/A</v>
      </c>
      <c r="D43" s="111"/>
      <c r="E43" s="122" t="e">
        <f>VLOOKUP(Table257519913140106110151155162[[#This Row],[PEG]],Table1016[#All],3,FALSE)</f>
        <v>#N/A</v>
      </c>
    </row>
    <row r="44" spans="1:5">
      <c r="A44" s="114">
        <v>37</v>
      </c>
      <c r="B44" s="110" t="s">
        <v>13</v>
      </c>
      <c r="C44" s="17" t="s">
        <v>13</v>
      </c>
      <c r="D44" s="111"/>
      <c r="E44" s="31"/>
    </row>
  </sheetData>
  <mergeCells count="1">
    <mergeCell ref="A1:B1"/>
  </mergeCells>
  <conditionalFormatting sqref="B8:B18">
    <cfRule type="containsText" dxfId="2116" priority="1" operator="containsText" text="Hear">
      <formula>NOT(ISERROR(SEARCH("Hear",B8)))</formula>
    </cfRule>
  </conditionalFormatting>
  <conditionalFormatting sqref="B30">
    <cfRule type="containsText" dxfId="2115" priority="4" operator="containsText" text="Hear">
      <formula>NOT(ISERROR(SEARCH("Hear",B30)))</formula>
    </cfRule>
  </conditionalFormatting>
  <conditionalFormatting sqref="B43:B44">
    <cfRule type="containsText" dxfId="2114" priority="8" operator="containsText" text="Hear">
      <formula>NOT(ISERROR(SEARCH("Hear",B43)))</formula>
    </cfRule>
  </conditionalFormatting>
  <conditionalFormatting sqref="E44">
    <cfRule type="containsText" dxfId="2113" priority="6" operator="containsText" text="WEB SERVICE">
      <formula>NOT(ISERROR(SEARCH("WEB SERVICE",E44)))</formula>
    </cfRule>
    <cfRule type="containsText" dxfId="2112" priority="7" operator="containsText" text="DB">
      <formula>NOT(ISERROR(SEARCH("DB",E44)))</formula>
    </cfRule>
  </conditionalFormatting>
  <conditionalFormatting sqref="C44">
    <cfRule type="expression" dxfId="2111" priority="9">
      <formula>$B44="HANGUP"</formula>
    </cfRule>
    <cfRule type="expression" dxfId="2110" priority="9">
      <formula>$B44="Dial"</formula>
    </cfRule>
  </conditionalFormatting>
  <conditionalFormatting sqref="C44">
    <cfRule type="expression" dxfId="2109" priority="3">
      <formula>$B44="Speak"</formula>
    </cfRule>
  </conditionalFormatting>
  <conditionalFormatting sqref="B36:B38 B40:B41">
    <cfRule type="containsText" dxfId="2108" priority="10" operator="containsText" text="Hear">
      <formula>NOT(ISERROR(SEARCH("Hear",B36)))</formula>
    </cfRule>
  </conditionalFormatting>
  <conditionalFormatting sqref="B19:B29 B31:B35 B42">
    <cfRule type="containsText" dxfId="2107" priority="5" operator="containsText" text="Hear">
      <formula>NOT(ISERROR(SEARCH("Hear",B19)))</formula>
    </cfRule>
  </conditionalFormatting>
  <hyperlinks>
    <hyperlink ref="A1" location="'Test Case Overview'!A1" display="Return to Test Case Overview" xr:uid="{00000000-0004-0000-7F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EDEA8019-9B17-496C-8B9D-2B61D71D6802}">
            <xm:f>'TC1'!$B8="HANGUP"</xm:f>
            <x14:dxf>
              <font>
                <b/>
                <i val="0"/>
              </font>
            </x14:dxf>
          </x14:cfRule>
          <x14:cfRule type="expression" priority="11" id="{5FBD2E1F-0312-4DA5-B63A-3243BD3FD5F4}">
            <xm:f>'TC1'!$B8="Dial"</xm:f>
            <x14:dxf>
              <font>
                <b/>
                <i val="0"/>
                <color rgb="FFFF0000"/>
              </font>
            </x14:dxf>
          </x14:cfRule>
          <xm:sqref>C8</xm:sqref>
        </x14:conditionalFormatting>
        <x14:conditionalFormatting xmlns:xm="http://schemas.microsoft.com/office/excel/2006/main">
          <x14:cfRule type="expression" priority="12" id="{44D938E2-AAB6-40C8-9E4A-341B068E6B4F}">
            <xm:f>'TC1'!$B8="Speak"</xm:f>
            <x14:dxf>
              <font>
                <b/>
                <i val="0"/>
                <color rgb="FFFF0000"/>
              </font>
            </x14:dxf>
          </x14:cfRule>
          <xm:sqref>C8</xm:sqref>
        </x14:conditionalFormatting>
        <x14:conditionalFormatting xmlns:xm="http://schemas.microsoft.com/office/excel/2006/main">
          <x14:cfRule type="containsText" priority="13" operator="containsText" text="DB" id="{476779F1-3647-4433-A6A1-6E58EFCB679C}">
            <xm:f>NOT(ISERROR(SEARCH("DB",'TC1'!E10)))</xm:f>
            <x14:dxf>
              <font>
                <color rgb="FF006100"/>
              </font>
              <fill>
                <patternFill>
                  <bgColor rgb="FFC6EFCE"/>
                </patternFill>
              </fill>
            </x14:dxf>
          </x14:cfRule>
          <x14:cfRule type="containsText" priority="13" operator="containsText" text="WEB SERVICE" id="{FF2F120B-446E-4E74-9AD9-37A1D4A10ACE}">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containsText" priority="15" operator="containsText" text="Hear" id="{9333B44E-AF6C-40E2-A931-5E79C00F6BBF}">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806" id="{EDEA8019-9B17-496C-8B9D-2B61D71D6802}">
            <xm:f>'TC1'!$B14="HANGUP"</xm:f>
            <x14:dxf>
              <font>
                <b/>
                <i val="0"/>
              </font>
            </x14:dxf>
          </x14:cfRule>
          <x14:cfRule type="expression" priority="2807" id="{5FBD2E1F-0312-4DA5-B63A-3243BD3FD5F4}">
            <xm:f>'TC1'!$B14="Dial"</xm:f>
            <x14:dxf>
              <font>
                <b/>
                <i val="0"/>
                <color rgb="FFFF0000"/>
              </font>
            </x14:dxf>
          </x14:cfRule>
          <xm:sqref>C34:C43</xm:sqref>
        </x14:conditionalFormatting>
        <x14:conditionalFormatting xmlns:xm="http://schemas.microsoft.com/office/excel/2006/main">
          <x14:cfRule type="expression" priority="2808" id="{EDEA8019-9B17-496C-8B9D-2B61D71D6802}">
            <xm:f>'TC1'!#REF!="HANGUP"</xm:f>
            <x14:dxf>
              <font>
                <b/>
                <i val="0"/>
              </font>
            </x14:dxf>
          </x14:cfRule>
          <x14:cfRule type="expression" priority="2809" id="{5FBD2E1F-0312-4DA5-B63A-3243BD3FD5F4}">
            <xm:f>'TC1'!#REF!="Dial"</xm:f>
            <x14:dxf>
              <font>
                <b/>
                <i val="0"/>
                <color rgb="FFFF0000"/>
              </font>
            </x14:dxf>
          </x14:cfRule>
          <xm:sqref>C13:C33</xm:sqref>
        </x14:conditionalFormatting>
        <x14:conditionalFormatting xmlns:xm="http://schemas.microsoft.com/office/excel/2006/main">
          <x14:cfRule type="expression" priority="2813" id="{44D938E2-AAB6-40C8-9E4A-341B068E6B4F}">
            <xm:f>'TC1'!$B14="Speak"</xm:f>
            <x14:dxf>
              <font>
                <b/>
                <i val="0"/>
                <color rgb="FFFF0000"/>
              </font>
            </x14:dxf>
          </x14:cfRule>
          <xm:sqref>C34:C43</xm:sqref>
        </x14:conditionalFormatting>
        <x14:conditionalFormatting xmlns:xm="http://schemas.microsoft.com/office/excel/2006/main">
          <x14:cfRule type="expression" priority="2814" id="{44D938E2-AAB6-40C8-9E4A-341B068E6B4F}">
            <xm:f>'TC1'!#REF!="Speak"</xm:f>
            <x14:dxf>
              <font>
                <b/>
                <i val="0"/>
                <color rgb="FFFF0000"/>
              </font>
            </x14:dxf>
          </x14:cfRule>
          <xm:sqref>C13:C33</xm:sqref>
        </x14:conditionalFormatting>
        <x14:conditionalFormatting xmlns:xm="http://schemas.microsoft.com/office/excel/2006/main">
          <x14:cfRule type="containsText" priority="2818" operator="containsText" text="DB" id="{476779F1-3647-4433-A6A1-6E58EFCB679C}">
            <xm:f>NOT(ISERROR(SEARCH("DB",'TC1'!E14)))</xm:f>
            <x14:dxf>
              <font>
                <color rgb="FF006100"/>
              </font>
              <fill>
                <patternFill>
                  <bgColor rgb="FFC6EFCE"/>
                </patternFill>
              </fill>
            </x14:dxf>
          </x14:cfRule>
          <x14:cfRule type="containsText" priority="2819" operator="containsText" text="WEB SERVICE" id="{FF2F120B-446E-4E74-9AD9-37A1D4A10ACE}">
            <xm:f>NOT(ISERROR(SEARCH("WEB SERVICE",'TC1'!E14)))</xm:f>
            <x14:dxf>
              <font>
                <color rgb="FF9C0006"/>
              </font>
              <fill>
                <patternFill>
                  <bgColor rgb="FFFFC7CE"/>
                </patternFill>
              </fill>
            </x14:dxf>
          </x14:cfRule>
          <xm:sqref>E34:E43</xm:sqref>
        </x14:conditionalFormatting>
        <x14:conditionalFormatting xmlns:xm="http://schemas.microsoft.com/office/excel/2006/main">
          <x14:cfRule type="containsText" priority="2820" operator="containsText" text="DB" id="{476779F1-3647-4433-A6A1-6E58EFCB679C}">
            <xm:f>NOT(ISERROR(SEARCH("DB",'TC1'!#REF!)))</xm:f>
            <x14:dxf>
              <font>
                <color rgb="FF006100"/>
              </font>
              <fill>
                <patternFill>
                  <bgColor rgb="FFC6EFCE"/>
                </patternFill>
              </fill>
            </x14:dxf>
          </x14:cfRule>
          <x14:cfRule type="containsText" priority="2821" operator="containsText" text="WEB SERVICE" id="{FF2F120B-446E-4E74-9AD9-37A1D4A10ACE}">
            <xm:f>NOT(ISERROR(SEARCH("WEB SERVICE",'TC1'!#REF!)))</xm:f>
            <x14:dxf>
              <font>
                <color rgb="FF9C0006"/>
              </font>
              <fill>
                <patternFill>
                  <bgColor rgb="FFFFC7CE"/>
                </patternFill>
              </fill>
            </x14:dxf>
          </x14:cfRule>
          <xm:sqref>E13:E33</xm:sqref>
        </x14:conditionalFormatting>
        <x14:conditionalFormatting xmlns:xm="http://schemas.microsoft.com/office/excel/2006/main">
          <x14:cfRule type="expression" priority="4374" id="{EDEA8019-9B17-496C-8B9D-2B61D71D6802}">
            <xm:f>'TC1'!$B10="HANGUP"</xm:f>
            <x14:dxf>
              <font>
                <b/>
                <i val="0"/>
              </font>
            </x14:dxf>
          </x14:cfRule>
          <x14:cfRule type="expression" priority="4375" id="{5FBD2E1F-0312-4DA5-B63A-3243BD3FD5F4}">
            <xm:f>'TC1'!$B10="Dial"</xm:f>
            <x14:dxf>
              <font>
                <b/>
                <i val="0"/>
                <color rgb="FFFF0000"/>
              </font>
            </x14:dxf>
          </x14:cfRule>
          <xm:sqref>C9:C12</xm:sqref>
        </x14:conditionalFormatting>
        <x14:conditionalFormatting xmlns:xm="http://schemas.microsoft.com/office/excel/2006/main">
          <x14:cfRule type="expression" priority="4377" id="{44D938E2-AAB6-40C8-9E4A-341B068E6B4F}">
            <xm:f>'TC1'!$B10="Speak"</xm:f>
            <x14:dxf>
              <font>
                <b/>
                <i val="0"/>
                <color rgb="FFFF0000"/>
              </font>
            </x14:dxf>
          </x14:cfRule>
          <xm:sqref>C9:C12</xm:sqref>
        </x14:conditionalFormatting>
        <x14:conditionalFormatting xmlns:xm="http://schemas.microsoft.com/office/excel/2006/main">
          <x14:cfRule type="containsText" priority="6183" operator="containsText" text="Hear" id="{FED4BAE6-4556-4575-A097-F809D72B0B5C}">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sheetPr codeName="Sheet130"/>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TC128</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VLOOKUP(Table257519913140106110151155164[[#This Row],[PEG]],Table1016[#All],2,FALSE)</f>
        <v>#N/A</v>
      </c>
      <c r="D9" s="125"/>
      <c r="E9" s="122" t="e">
        <f>VLOOKUP(Table257519913140106110151155164[[#This Row],[PEG]],Table1016[#All],3,FALSE)</f>
        <v>#N/A</v>
      </c>
    </row>
    <row r="10" spans="1:5">
      <c r="A10" s="114">
        <v>3</v>
      </c>
      <c r="B10" s="110" t="s">
        <v>115</v>
      </c>
      <c r="C10" s="105" t="e">
        <f>VLOOKUP(Table257519913140106110151155164[[#This Row],[PEG]],Table1016[#All],2,FALSE)</f>
        <v>#N/A</v>
      </c>
      <c r="D10" s="125"/>
      <c r="E10" s="122" t="e">
        <f>VLOOKUP(Table257519913140106110151155164[[#This Row],[PEG]],Table1016[#All],3,FALSE)</f>
        <v>#N/A</v>
      </c>
    </row>
    <row r="11" spans="1:5">
      <c r="A11" s="114">
        <v>4</v>
      </c>
      <c r="B11" s="110" t="s">
        <v>115</v>
      </c>
      <c r="C11" s="105" t="e">
        <f>VLOOKUP(Table257519913140106110151155164[[#This Row],[PEG]],Table1016[#All],2,FALSE)</f>
        <v>#N/A</v>
      </c>
      <c r="D11" s="125"/>
      <c r="E11" s="122" t="e">
        <f>VLOOKUP(Table257519913140106110151155164[[#This Row],[PEG]],Table1016[#All],3,FALSE)</f>
        <v>#N/A</v>
      </c>
    </row>
    <row r="12" spans="1:5">
      <c r="A12" s="114">
        <v>5</v>
      </c>
      <c r="B12" s="110" t="s">
        <v>114</v>
      </c>
      <c r="C12" s="105" t="e">
        <f>VLOOKUP(Table257519913140106110151155164[[#This Row],[PEG]],Table1016[#All],2,FALSE)</f>
        <v>#N/A</v>
      </c>
      <c r="D12" s="125"/>
      <c r="E12" s="122" t="e">
        <f>VLOOKUP(Table257519913140106110151155164[[#This Row],[PEG]],Table1016[#All],3,FALSE)</f>
        <v>#N/A</v>
      </c>
    </row>
    <row r="13" spans="1:5">
      <c r="A13" s="114">
        <v>6</v>
      </c>
      <c r="B13" s="110" t="s">
        <v>115</v>
      </c>
      <c r="C13" s="105" t="e">
        <f>VLOOKUP(Table257519913140106110151155164[[#This Row],[PEG]],Table1016[#All],2,FALSE)</f>
        <v>#N/A</v>
      </c>
      <c r="D13" s="125"/>
      <c r="E13" s="122" t="e">
        <f>VLOOKUP(Table257519913140106110151155164[[#This Row],[PEG]],Table1016[#All],3,FALSE)</f>
        <v>#N/A</v>
      </c>
    </row>
    <row r="14" spans="1:5">
      <c r="A14" s="114">
        <v>7</v>
      </c>
      <c r="B14" s="110" t="s">
        <v>114</v>
      </c>
      <c r="C14" s="105" t="e">
        <f>VLOOKUP(Table257519913140106110151155164[[#This Row],[PEG]],Table1016[#All],2,FALSE)</f>
        <v>#N/A</v>
      </c>
      <c r="D14" s="125"/>
      <c r="E14" s="122" t="e">
        <f>VLOOKUP(Table257519913140106110151155164[[#This Row],[PEG]],Table1016[#All],3,FALSE)</f>
        <v>#N/A</v>
      </c>
    </row>
    <row r="15" spans="1:5">
      <c r="A15" s="114">
        <v>8</v>
      </c>
      <c r="B15" s="110" t="s">
        <v>115</v>
      </c>
      <c r="C15" s="105" t="e">
        <f>VLOOKUP(Table257519913140106110151155164[[#This Row],[PEG]],Table1016[#All],2,FALSE)</f>
        <v>#N/A</v>
      </c>
      <c r="D15" s="112"/>
      <c r="E15" s="122" t="e">
        <f>VLOOKUP(Table257519913140106110151155164[[#This Row],[PEG]],Table1016[#All],3,FALSE)</f>
        <v>#N/A</v>
      </c>
    </row>
    <row r="16" spans="1:5">
      <c r="A16" s="114">
        <v>9</v>
      </c>
      <c r="B16" s="110" t="s">
        <v>12</v>
      </c>
      <c r="C16" s="105" t="e">
        <f>VLOOKUP(Table257519913140106110151155164[[#This Row],[PEG]],Table1016[#All],2,FALSE)</f>
        <v>#N/A</v>
      </c>
      <c r="D16" s="112"/>
      <c r="E16" s="122" t="e">
        <f>VLOOKUP(Table257519913140106110151155164[[#This Row],[PEG]],Table1016[#All],3,FALSE)</f>
        <v>#N/A</v>
      </c>
    </row>
    <row r="17" spans="1:5">
      <c r="A17" s="114">
        <v>10</v>
      </c>
      <c r="B17" s="110" t="s">
        <v>12</v>
      </c>
      <c r="C17" s="105" t="e">
        <f>VLOOKUP(Table257519913140106110151155164[[#This Row],[PEG]],Table1016[#All],2,FALSE)</f>
        <v>#N/A</v>
      </c>
      <c r="D17" s="113"/>
      <c r="E17" s="122" t="e">
        <f>VLOOKUP(Table257519913140106110151155164[[#This Row],[PEG]],Table1016[#All],3,FALSE)</f>
        <v>#N/A</v>
      </c>
    </row>
    <row r="18" spans="1:5">
      <c r="A18" s="114">
        <v>11</v>
      </c>
      <c r="B18" s="110" t="s">
        <v>115</v>
      </c>
      <c r="C18" s="105" t="e">
        <f>VLOOKUP(Table257519913140106110151155164[[#This Row],[PEG]],Table1016[#All],2,FALSE)</f>
        <v>#N/A</v>
      </c>
      <c r="D18" s="113"/>
      <c r="E18" s="122" t="e">
        <f>VLOOKUP(Table257519913140106110151155164[[#This Row],[PEG]],Table1016[#All],3,FALSE)</f>
        <v>#N/A</v>
      </c>
    </row>
    <row r="19" spans="1:5">
      <c r="A19" s="114">
        <v>12</v>
      </c>
      <c r="B19" s="110" t="s">
        <v>115</v>
      </c>
      <c r="C19" s="105" t="e">
        <f>VLOOKUP(Table257519913140106110151155164[[#This Row],[PEG]],Table1016[#All],2,FALSE)</f>
        <v>#N/A</v>
      </c>
      <c r="D19" s="113"/>
      <c r="E19" s="122" t="e">
        <f>VLOOKUP(Table257519913140106110151155164[[#This Row],[PEG]],Table1016[#All],3,FALSE)</f>
        <v>#N/A</v>
      </c>
    </row>
    <row r="20" spans="1:5">
      <c r="A20" s="114">
        <v>13</v>
      </c>
      <c r="B20" s="110" t="s">
        <v>114</v>
      </c>
      <c r="C20" s="105" t="e">
        <f>VLOOKUP(Table257519913140106110151155164[[#This Row],[PEG]],Table1016[#All],2,FALSE)</f>
        <v>#N/A</v>
      </c>
      <c r="D20" s="113"/>
      <c r="E20" s="122" t="e">
        <f>VLOOKUP(Table257519913140106110151155164[[#This Row],[PEG]],Table1016[#All],3,FALSE)</f>
        <v>#N/A</v>
      </c>
    </row>
    <row r="21" spans="1:5">
      <c r="A21" s="114">
        <v>14</v>
      </c>
      <c r="B21" s="110" t="s">
        <v>12</v>
      </c>
      <c r="C21" s="105" t="e">
        <f>VLOOKUP(Table257519913140106110151155164[[#This Row],[PEG]],Table1016[#All],2,FALSE)</f>
        <v>#N/A</v>
      </c>
      <c r="D21" s="113"/>
      <c r="E21" s="122" t="e">
        <f>VLOOKUP(Table257519913140106110151155164[[#This Row],[PEG]],Table1016[#All],3,FALSE)</f>
        <v>#N/A</v>
      </c>
    </row>
    <row r="22" spans="1:5">
      <c r="A22" s="114">
        <v>15</v>
      </c>
      <c r="B22" s="110" t="s">
        <v>12</v>
      </c>
      <c r="C22" s="105" t="e">
        <f>VLOOKUP(Table257519913140106110151155164[[#This Row],[PEG]],Table1016[#All],2,FALSE)</f>
        <v>#N/A</v>
      </c>
      <c r="D22" s="113"/>
      <c r="E22" s="122" t="e">
        <f>VLOOKUP(Table257519913140106110151155164[[#This Row],[PEG]],Table1016[#All],3,FALSE)</f>
        <v>#N/A</v>
      </c>
    </row>
    <row r="23" spans="1:5">
      <c r="A23" s="114">
        <v>16</v>
      </c>
      <c r="B23" s="110" t="s">
        <v>115</v>
      </c>
      <c r="C23" s="105" t="e">
        <f>VLOOKUP(Table257519913140106110151155164[[#This Row],[PEG]],Table1016[#All],2,FALSE)</f>
        <v>#N/A</v>
      </c>
      <c r="D23" s="113"/>
      <c r="E23" s="122" t="e">
        <f>VLOOKUP(Table257519913140106110151155164[[#This Row],[PEG]],Table1016[#All],3,FALSE)</f>
        <v>#N/A</v>
      </c>
    </row>
    <row r="24" spans="1:5">
      <c r="A24" s="114">
        <v>17</v>
      </c>
      <c r="B24" s="110" t="s">
        <v>114</v>
      </c>
      <c r="C24" s="105" t="e">
        <f>VLOOKUP(Table257519913140106110151155164[[#This Row],[PEG]],Table1016[#All],2,FALSE)</f>
        <v>#N/A</v>
      </c>
      <c r="D24" s="113"/>
      <c r="E24" s="122" t="e">
        <f>VLOOKUP(Table257519913140106110151155164[[#This Row],[PEG]],Table1016[#All],3,FALSE)</f>
        <v>#N/A</v>
      </c>
    </row>
    <row r="25" spans="1:5">
      <c r="A25" s="114">
        <v>18</v>
      </c>
      <c r="B25" s="110" t="s">
        <v>12</v>
      </c>
      <c r="C25" s="105" t="e">
        <f>VLOOKUP(Table257519913140106110151155164[[#This Row],[PEG]],Table1016[#All],2,FALSE)</f>
        <v>#N/A</v>
      </c>
      <c r="D25" s="113"/>
      <c r="E25" s="122" t="e">
        <f>VLOOKUP(Table257519913140106110151155164[[#This Row],[PEG]],Table1016[#All],3,FALSE)</f>
        <v>#N/A</v>
      </c>
    </row>
    <row r="26" spans="1:5">
      <c r="A26" s="114">
        <v>19</v>
      </c>
      <c r="B26" s="110" t="s">
        <v>12</v>
      </c>
      <c r="C26" s="105" t="e">
        <f>VLOOKUP(Table257519913140106110151155164[[#This Row],[PEG]],Table1016[#All],2,FALSE)</f>
        <v>#N/A</v>
      </c>
      <c r="D26" s="113"/>
      <c r="E26" s="122" t="e">
        <f>VLOOKUP(Table257519913140106110151155164[[#This Row],[PEG]],Table1016[#All],3,FALSE)</f>
        <v>#N/A</v>
      </c>
    </row>
    <row r="27" spans="1:5">
      <c r="A27" s="114">
        <v>20</v>
      </c>
      <c r="B27" s="110" t="s">
        <v>115</v>
      </c>
      <c r="C27" s="105" t="e">
        <f>VLOOKUP(Table257519913140106110151155164[[#This Row],[PEG]],Table1016[#All],2,FALSE)</f>
        <v>#N/A</v>
      </c>
      <c r="D27" s="113"/>
      <c r="E27" s="122" t="e">
        <f>VLOOKUP(Table257519913140106110151155164[[#This Row],[PEG]],Table1016[#All],3,FALSE)</f>
        <v>#N/A</v>
      </c>
    </row>
    <row r="28" spans="1:5">
      <c r="A28" s="114">
        <v>21</v>
      </c>
      <c r="B28" s="110" t="s">
        <v>114</v>
      </c>
      <c r="C28" s="105" t="e">
        <f>VLOOKUP(Table257519913140106110151155164[[#This Row],[PEG]],Table1016[#All],2,FALSE)</f>
        <v>#N/A</v>
      </c>
      <c r="D28" s="113"/>
      <c r="E28" s="122" t="e">
        <f>VLOOKUP(Table257519913140106110151155164[[#This Row],[PEG]],Table1016[#All],3,FALSE)</f>
        <v>#N/A</v>
      </c>
    </row>
    <row r="29" spans="1:5">
      <c r="A29" s="114">
        <v>22</v>
      </c>
      <c r="B29" s="110" t="s">
        <v>12</v>
      </c>
      <c r="C29" s="105" t="e">
        <f>VLOOKUP(Table257519913140106110151155164[[#This Row],[PEG]],Table1016[#All],2,FALSE)</f>
        <v>#N/A</v>
      </c>
      <c r="D29" s="113"/>
      <c r="E29" s="122" t="e">
        <f>VLOOKUP(Table257519913140106110151155164[[#This Row],[PEG]],Table1016[#All],3,FALSE)</f>
        <v>#N/A</v>
      </c>
    </row>
    <row r="30" spans="1:5">
      <c r="A30" s="114">
        <v>23</v>
      </c>
      <c r="B30" s="110" t="s">
        <v>12</v>
      </c>
      <c r="C30" s="105" t="e">
        <f>VLOOKUP(Table257519913140106110151155164[[#This Row],[PEG]],Table1016[#All],2,FALSE)</f>
        <v>#N/A</v>
      </c>
      <c r="D30" s="113"/>
      <c r="E30" s="122" t="e">
        <f>VLOOKUP(Table257519913140106110151155164[[#This Row],[PEG]],Table1016[#All],3,FALSE)</f>
        <v>#N/A</v>
      </c>
    </row>
    <row r="31" spans="1:5">
      <c r="A31" s="114">
        <v>24</v>
      </c>
      <c r="B31" s="110" t="s">
        <v>115</v>
      </c>
      <c r="C31" s="105" t="e">
        <f>VLOOKUP(Table257519913140106110151155164[[#This Row],[PEG]],Table1016[#All],2,FALSE)</f>
        <v>#N/A</v>
      </c>
      <c r="D31" s="113"/>
      <c r="E31" s="122" t="e">
        <f>VLOOKUP(Table257519913140106110151155164[[#This Row],[PEG]],Table1016[#All],3,FALSE)</f>
        <v>#N/A</v>
      </c>
    </row>
    <row r="32" spans="1:5">
      <c r="A32" s="114">
        <v>25</v>
      </c>
      <c r="B32" s="110" t="s">
        <v>115</v>
      </c>
      <c r="C32" s="105" t="e">
        <f>VLOOKUP(Table257519913140106110151155164[[#This Row],[PEG]],Table1016[#All],2,FALSE)</f>
        <v>#N/A</v>
      </c>
      <c r="D32" s="113"/>
      <c r="E32" s="122" t="e">
        <f>VLOOKUP(Table257519913140106110151155164[[#This Row],[PEG]],Table1016[#All],3,FALSE)</f>
        <v>#N/A</v>
      </c>
    </row>
    <row r="33" spans="1:5">
      <c r="A33" s="114">
        <v>26</v>
      </c>
      <c r="B33" s="110" t="s">
        <v>124</v>
      </c>
      <c r="C33" s="105" t="e">
        <f>VLOOKUP(Table257519913140106110151155164[[#This Row],[PEG]],Table1016[#All],2,FALSE)</f>
        <v>#N/A</v>
      </c>
      <c r="D33" s="113"/>
      <c r="E33" s="122" t="e">
        <f>VLOOKUP(Table257519913140106110151155164[[#This Row],[PEG]],Table1016[#All],3,FALSE)</f>
        <v>#N/A</v>
      </c>
    </row>
    <row r="34" spans="1:5">
      <c r="A34" s="114">
        <v>27</v>
      </c>
      <c r="B34" s="110" t="s">
        <v>115</v>
      </c>
      <c r="C34" s="105" t="e">
        <f>VLOOKUP(Table257519913140106110151155164[[#This Row],[PEG]],Table1016[#All],2,FALSE)</f>
        <v>#N/A</v>
      </c>
      <c r="D34" s="113"/>
      <c r="E34" s="122" t="e">
        <f>VLOOKUP(Table257519913140106110151155164[[#This Row],[PEG]],Table1016[#All],3,FALSE)</f>
        <v>#N/A</v>
      </c>
    </row>
    <row r="35" spans="1:5">
      <c r="A35" s="114">
        <v>28</v>
      </c>
      <c r="B35" s="110" t="s">
        <v>124</v>
      </c>
      <c r="C35" s="105" t="e">
        <f>VLOOKUP(Table257519913140106110151155164[[#This Row],[PEG]],Table1016[#All],2,FALSE)</f>
        <v>#N/A</v>
      </c>
      <c r="D35" s="113"/>
      <c r="E35" s="122" t="e">
        <f>VLOOKUP(Table257519913140106110151155164[[#This Row],[PEG]],Table1016[#All],3,FALSE)</f>
        <v>#N/A</v>
      </c>
    </row>
    <row r="36" spans="1:5">
      <c r="A36" s="114">
        <v>29</v>
      </c>
      <c r="B36" s="110" t="s">
        <v>115</v>
      </c>
      <c r="C36" s="105" t="e">
        <f>VLOOKUP(Table257519913140106110151155164[[#This Row],[PEG]],Table1016[#All],2,FALSE)</f>
        <v>#N/A</v>
      </c>
      <c r="D36" s="113"/>
      <c r="E36" s="122" t="e">
        <f>VLOOKUP(Table257519913140106110151155164[[#This Row],[PEG]],Table1016[#All],3,FALSE)</f>
        <v>#N/A</v>
      </c>
    </row>
    <row r="37" spans="1:5">
      <c r="A37" s="114">
        <v>30</v>
      </c>
      <c r="B37" s="110" t="s">
        <v>12</v>
      </c>
      <c r="C37" s="105" t="e">
        <f>VLOOKUP(Table257519913140106110151155164[[#This Row],[PEG]],Table1016[#All],2,FALSE)</f>
        <v>#N/A</v>
      </c>
      <c r="D37" s="113"/>
      <c r="E37" s="122" t="e">
        <f>VLOOKUP(Table257519913140106110151155164[[#This Row],[PEG]],Table1016[#All],3,FALSE)</f>
        <v>#N/A</v>
      </c>
    </row>
    <row r="38" spans="1:5">
      <c r="A38" s="114">
        <v>31</v>
      </c>
      <c r="B38" s="110" t="s">
        <v>12</v>
      </c>
      <c r="C38" s="105" t="e">
        <f>VLOOKUP(Table257519913140106110151155164[[#This Row],[PEG]],Table1016[#All],2,FALSE)</f>
        <v>#N/A</v>
      </c>
      <c r="D38" s="113"/>
      <c r="E38" s="122" t="e">
        <f>VLOOKUP(Table257519913140106110151155164[[#This Row],[PEG]],Table1016[#All],3,FALSE)</f>
        <v>#N/A</v>
      </c>
    </row>
    <row r="39" spans="1:5">
      <c r="A39" s="114">
        <v>32</v>
      </c>
      <c r="B39" s="110" t="s">
        <v>12</v>
      </c>
      <c r="C39" s="105" t="e">
        <f>VLOOKUP(Table257519913140106110151155164[[#This Row],[PEG]],Table1016[#All],2,FALSE)</f>
        <v>#N/A</v>
      </c>
      <c r="D39" s="113"/>
      <c r="E39" s="122" t="e">
        <f>VLOOKUP(Table257519913140106110151155164[[#This Row],[PEG]],Table1016[#All],3,FALSE)</f>
        <v>#N/A</v>
      </c>
    </row>
    <row r="40" spans="1:5">
      <c r="A40" s="114">
        <v>33</v>
      </c>
      <c r="B40" s="110" t="s">
        <v>12</v>
      </c>
      <c r="C40" s="105" t="e">
        <f>VLOOKUP(Table257519913140106110151155164[[#This Row],[PEG]],Table1016[#All],2,FALSE)</f>
        <v>#N/A</v>
      </c>
      <c r="D40" s="113"/>
      <c r="E40" s="122" t="e">
        <f>VLOOKUP(Table257519913140106110151155164[[#This Row],[PEG]],Table1016[#All],3,FALSE)</f>
        <v>#N/A</v>
      </c>
    </row>
    <row r="41" spans="1:5">
      <c r="A41" s="114">
        <v>34</v>
      </c>
      <c r="B41" s="110" t="s">
        <v>115</v>
      </c>
      <c r="C41" s="105" t="e">
        <f>VLOOKUP(Table257519913140106110151155164[[#This Row],[PEG]],Table1016[#All],2,FALSE)</f>
        <v>#N/A</v>
      </c>
      <c r="D41" s="113"/>
      <c r="E41" s="122" t="e">
        <f>VLOOKUP(Table257519913140106110151155164[[#This Row],[PEG]],Table1016[#All],3,FALSE)</f>
        <v>#N/A</v>
      </c>
    </row>
    <row r="42" spans="1:5">
      <c r="A42" s="114">
        <v>35</v>
      </c>
      <c r="B42" s="110" t="s">
        <v>12</v>
      </c>
      <c r="C42" s="105" t="e">
        <f>VLOOKUP(Table257519913140106110151155164[[#This Row],[PEG]],Table1016[#All],2,FALSE)</f>
        <v>#N/A</v>
      </c>
      <c r="D42" s="111"/>
      <c r="E42" s="122" t="e">
        <f>VLOOKUP(Table257519913140106110151155164[[#This Row],[PEG]],Table1016[#All],3,FALSE)</f>
        <v>#N/A</v>
      </c>
    </row>
    <row r="43" spans="1:5">
      <c r="A43" s="114">
        <v>36</v>
      </c>
      <c r="B43" s="110" t="s">
        <v>115</v>
      </c>
      <c r="C43" s="105" t="e">
        <f>VLOOKUP(Table257519913140106110151155164[[#This Row],[PEG]],Table1016[#All],2,FALSE)</f>
        <v>#N/A</v>
      </c>
      <c r="D43" s="111"/>
      <c r="E43" s="122" t="e">
        <f>VLOOKUP(Table257519913140106110151155164[[#This Row],[PEG]],Table1016[#All],3,FALSE)</f>
        <v>#N/A</v>
      </c>
    </row>
    <row r="44" spans="1:5">
      <c r="A44" s="114">
        <v>37</v>
      </c>
      <c r="B44" s="110" t="s">
        <v>13</v>
      </c>
      <c r="C44" s="17" t="s">
        <v>13</v>
      </c>
      <c r="D44" s="111"/>
      <c r="E44" s="31"/>
    </row>
  </sheetData>
  <mergeCells count="1">
    <mergeCell ref="A1:B1"/>
  </mergeCells>
  <conditionalFormatting sqref="B8:B18">
    <cfRule type="containsText" dxfId="2077" priority="1" operator="containsText" text="Hear">
      <formula>NOT(ISERROR(SEARCH("Hear",B8)))</formula>
    </cfRule>
  </conditionalFormatting>
  <conditionalFormatting sqref="B30">
    <cfRule type="containsText" dxfId="2076" priority="4" operator="containsText" text="Hear">
      <formula>NOT(ISERROR(SEARCH("Hear",B30)))</formula>
    </cfRule>
  </conditionalFormatting>
  <conditionalFormatting sqref="B43:B44">
    <cfRule type="containsText" dxfId="2075" priority="8" operator="containsText" text="Hear">
      <formula>NOT(ISERROR(SEARCH("Hear",B43)))</formula>
    </cfRule>
  </conditionalFormatting>
  <conditionalFormatting sqref="E44">
    <cfRule type="containsText" dxfId="2074" priority="6" operator="containsText" text="WEB SERVICE">
      <formula>NOT(ISERROR(SEARCH("WEB SERVICE",E44)))</formula>
    </cfRule>
    <cfRule type="containsText" dxfId="2073" priority="7" operator="containsText" text="DB">
      <formula>NOT(ISERROR(SEARCH("DB",E44)))</formula>
    </cfRule>
  </conditionalFormatting>
  <conditionalFormatting sqref="C44">
    <cfRule type="expression" dxfId="2072" priority="9">
      <formula>$B44="HANGUP"</formula>
    </cfRule>
    <cfRule type="expression" dxfId="2071" priority="9">
      <formula>$B44="Dial"</formula>
    </cfRule>
  </conditionalFormatting>
  <conditionalFormatting sqref="C44">
    <cfRule type="expression" dxfId="2070" priority="3">
      <formula>$B44="Speak"</formula>
    </cfRule>
  </conditionalFormatting>
  <conditionalFormatting sqref="B36:B38 B40:B41">
    <cfRule type="containsText" dxfId="2069" priority="10" operator="containsText" text="Hear">
      <formula>NOT(ISERROR(SEARCH("Hear",B36)))</formula>
    </cfRule>
  </conditionalFormatting>
  <conditionalFormatting sqref="B19:B29 B31:B35 B42">
    <cfRule type="containsText" dxfId="2068" priority="5" operator="containsText" text="Hear">
      <formula>NOT(ISERROR(SEARCH("Hear",B19)))</formula>
    </cfRule>
  </conditionalFormatting>
  <hyperlinks>
    <hyperlink ref="A1" location="'Test Case Overview'!A1" display="Return to Test Case Overview" xr:uid="{00000000-0004-0000-80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E3C646FC-E55E-414D-81D7-17718C19D8E7}">
            <xm:f>'TC1'!$B8="HANGUP"</xm:f>
            <x14:dxf>
              <font>
                <b/>
                <i val="0"/>
              </font>
            </x14:dxf>
          </x14:cfRule>
          <x14:cfRule type="expression" priority="11" id="{835419A4-642F-40F8-BEBB-6F1B1E2605A8}">
            <xm:f>'TC1'!$B8="Dial"</xm:f>
            <x14:dxf>
              <font>
                <b/>
                <i val="0"/>
                <color rgb="FFFF0000"/>
              </font>
            </x14:dxf>
          </x14:cfRule>
          <xm:sqref>C8</xm:sqref>
        </x14:conditionalFormatting>
        <x14:conditionalFormatting xmlns:xm="http://schemas.microsoft.com/office/excel/2006/main">
          <x14:cfRule type="expression" priority="12" id="{8EF05FA7-B8ED-4D21-A22B-91534E7D0C72}">
            <xm:f>'TC1'!$B8="Speak"</xm:f>
            <x14:dxf>
              <font>
                <b/>
                <i val="0"/>
                <color rgb="FFFF0000"/>
              </font>
            </x14:dxf>
          </x14:cfRule>
          <xm:sqref>C8</xm:sqref>
        </x14:conditionalFormatting>
        <x14:conditionalFormatting xmlns:xm="http://schemas.microsoft.com/office/excel/2006/main">
          <x14:cfRule type="containsText" priority="13" operator="containsText" text="DB" id="{F181916E-2B25-4289-8D09-9F143E8F20FE}">
            <xm:f>NOT(ISERROR(SEARCH("DB",'TC1'!E10)))</xm:f>
            <x14:dxf>
              <font>
                <color rgb="FF006100"/>
              </font>
              <fill>
                <patternFill>
                  <bgColor rgb="FFC6EFCE"/>
                </patternFill>
              </fill>
            </x14:dxf>
          </x14:cfRule>
          <x14:cfRule type="containsText" priority="13" operator="containsText" text="WEB SERVICE" id="{DC5021FE-2E47-43E3-8F9A-8FF3F8D36216}">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containsText" priority="15" operator="containsText" text="Hear" id="{6B85A5C7-0DDA-4D99-A3B1-A4044DE17729}">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826" id="{E3C646FC-E55E-414D-81D7-17718C19D8E7}">
            <xm:f>'TC1'!$B14="HANGUP"</xm:f>
            <x14:dxf>
              <font>
                <b/>
                <i val="0"/>
              </font>
            </x14:dxf>
          </x14:cfRule>
          <x14:cfRule type="expression" priority="2827" id="{835419A4-642F-40F8-BEBB-6F1B1E2605A8}">
            <xm:f>'TC1'!$B14="Dial"</xm:f>
            <x14:dxf>
              <font>
                <b/>
                <i val="0"/>
                <color rgb="FFFF0000"/>
              </font>
            </x14:dxf>
          </x14:cfRule>
          <xm:sqref>C34:C43</xm:sqref>
        </x14:conditionalFormatting>
        <x14:conditionalFormatting xmlns:xm="http://schemas.microsoft.com/office/excel/2006/main">
          <x14:cfRule type="expression" priority="2828" id="{E3C646FC-E55E-414D-81D7-17718C19D8E7}">
            <xm:f>'TC1'!#REF!="HANGUP"</xm:f>
            <x14:dxf>
              <font>
                <b/>
                <i val="0"/>
              </font>
            </x14:dxf>
          </x14:cfRule>
          <x14:cfRule type="expression" priority="2829" id="{835419A4-642F-40F8-BEBB-6F1B1E2605A8}">
            <xm:f>'TC1'!#REF!="Dial"</xm:f>
            <x14:dxf>
              <font>
                <b/>
                <i val="0"/>
                <color rgb="FFFF0000"/>
              </font>
            </x14:dxf>
          </x14:cfRule>
          <xm:sqref>C13:C33</xm:sqref>
        </x14:conditionalFormatting>
        <x14:conditionalFormatting xmlns:xm="http://schemas.microsoft.com/office/excel/2006/main">
          <x14:cfRule type="expression" priority="2833" id="{8EF05FA7-B8ED-4D21-A22B-91534E7D0C72}">
            <xm:f>'TC1'!$B14="Speak"</xm:f>
            <x14:dxf>
              <font>
                <b/>
                <i val="0"/>
                <color rgb="FFFF0000"/>
              </font>
            </x14:dxf>
          </x14:cfRule>
          <xm:sqref>C34:C43</xm:sqref>
        </x14:conditionalFormatting>
        <x14:conditionalFormatting xmlns:xm="http://schemas.microsoft.com/office/excel/2006/main">
          <x14:cfRule type="expression" priority="2834" id="{8EF05FA7-B8ED-4D21-A22B-91534E7D0C72}">
            <xm:f>'TC1'!#REF!="Speak"</xm:f>
            <x14:dxf>
              <font>
                <b/>
                <i val="0"/>
                <color rgb="FFFF0000"/>
              </font>
            </x14:dxf>
          </x14:cfRule>
          <xm:sqref>C13:C33</xm:sqref>
        </x14:conditionalFormatting>
        <x14:conditionalFormatting xmlns:xm="http://schemas.microsoft.com/office/excel/2006/main">
          <x14:cfRule type="containsText" priority="2838" operator="containsText" text="DB" id="{F181916E-2B25-4289-8D09-9F143E8F20FE}">
            <xm:f>NOT(ISERROR(SEARCH("DB",'TC1'!E14)))</xm:f>
            <x14:dxf>
              <font>
                <color rgb="FF006100"/>
              </font>
              <fill>
                <patternFill>
                  <bgColor rgb="FFC6EFCE"/>
                </patternFill>
              </fill>
            </x14:dxf>
          </x14:cfRule>
          <x14:cfRule type="containsText" priority="2839" operator="containsText" text="WEB SERVICE" id="{DC5021FE-2E47-43E3-8F9A-8FF3F8D36216}">
            <xm:f>NOT(ISERROR(SEARCH("WEB SERVICE",'TC1'!E14)))</xm:f>
            <x14:dxf>
              <font>
                <color rgb="FF9C0006"/>
              </font>
              <fill>
                <patternFill>
                  <bgColor rgb="FFFFC7CE"/>
                </patternFill>
              </fill>
            </x14:dxf>
          </x14:cfRule>
          <xm:sqref>E34:E43</xm:sqref>
        </x14:conditionalFormatting>
        <x14:conditionalFormatting xmlns:xm="http://schemas.microsoft.com/office/excel/2006/main">
          <x14:cfRule type="containsText" priority="2840" operator="containsText" text="DB" id="{F181916E-2B25-4289-8D09-9F143E8F20FE}">
            <xm:f>NOT(ISERROR(SEARCH("DB",'TC1'!#REF!)))</xm:f>
            <x14:dxf>
              <font>
                <color rgb="FF006100"/>
              </font>
              <fill>
                <patternFill>
                  <bgColor rgb="FFC6EFCE"/>
                </patternFill>
              </fill>
            </x14:dxf>
          </x14:cfRule>
          <x14:cfRule type="containsText" priority="2841" operator="containsText" text="WEB SERVICE" id="{DC5021FE-2E47-43E3-8F9A-8FF3F8D36216}">
            <xm:f>NOT(ISERROR(SEARCH("WEB SERVICE",'TC1'!#REF!)))</xm:f>
            <x14:dxf>
              <font>
                <color rgb="FF9C0006"/>
              </font>
              <fill>
                <patternFill>
                  <bgColor rgb="FFFFC7CE"/>
                </patternFill>
              </fill>
            </x14:dxf>
          </x14:cfRule>
          <xm:sqref>E13:E33</xm:sqref>
        </x14:conditionalFormatting>
        <x14:conditionalFormatting xmlns:xm="http://schemas.microsoft.com/office/excel/2006/main">
          <x14:cfRule type="expression" priority="4382" id="{E3C646FC-E55E-414D-81D7-17718C19D8E7}">
            <xm:f>'TC1'!$B10="HANGUP"</xm:f>
            <x14:dxf>
              <font>
                <b/>
                <i val="0"/>
              </font>
            </x14:dxf>
          </x14:cfRule>
          <x14:cfRule type="expression" priority="4383" id="{835419A4-642F-40F8-BEBB-6F1B1E2605A8}">
            <xm:f>'TC1'!$B10="Dial"</xm:f>
            <x14:dxf>
              <font>
                <b/>
                <i val="0"/>
                <color rgb="FFFF0000"/>
              </font>
            </x14:dxf>
          </x14:cfRule>
          <xm:sqref>C9:C12</xm:sqref>
        </x14:conditionalFormatting>
        <x14:conditionalFormatting xmlns:xm="http://schemas.microsoft.com/office/excel/2006/main">
          <x14:cfRule type="expression" priority="4385" id="{8EF05FA7-B8ED-4D21-A22B-91534E7D0C72}">
            <xm:f>'TC1'!$B10="Speak"</xm:f>
            <x14:dxf>
              <font>
                <b/>
                <i val="0"/>
                <color rgb="FFFF0000"/>
              </font>
            </x14:dxf>
          </x14:cfRule>
          <xm:sqref>C9:C12</xm:sqref>
        </x14:conditionalFormatting>
        <x14:conditionalFormatting xmlns:xm="http://schemas.microsoft.com/office/excel/2006/main">
          <x14:cfRule type="containsText" priority="6198" operator="containsText" text="Hear" id="{1745A031-CD60-48BD-A0E0-4B6FD431918F}">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E39"/>
  <sheetViews>
    <sheetView zoomScaleNormal="100" workbookViewId="0">
      <selection activeCell="C24" sqref="C24"/>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TC12</v>
      </c>
    </row>
    <row r="3" spans="1:5">
      <c r="A3" s="100" t="s">
        <v>19</v>
      </c>
      <c r="B3" s="108">
        <f ca="1">VLOOKUP(B2,Table1[#All],2,FALSE)</f>
        <v>0</v>
      </c>
    </row>
    <row r="4" spans="1:5" ht="30">
      <c r="A4" s="109" t="s">
        <v>20</v>
      </c>
      <c r="B4" s="95" t="str">
        <f ca="1">VLOOKUP(B2,Table1[#All],4,FALSE)</f>
        <v>svcArea=titleSvcs, serviceType=checkStatus, Completed=No, OFS02 change in process</v>
      </c>
    </row>
    <row r="5" spans="1:5" ht="30">
      <c r="A5" s="100" t="s">
        <v>6</v>
      </c>
      <c r="B5" s="89" t="str">
        <f ca="1">VLOOKUP(B2,Table1[#All],3,FALSE)</f>
        <v>CallStart Main Menu /Title /CheckStatus/ID Auth=True/ Xfer</v>
      </c>
    </row>
    <row r="7" spans="1:5" ht="15.75">
      <c r="A7" s="96" t="s">
        <v>7</v>
      </c>
      <c r="B7" s="97" t="s">
        <v>8</v>
      </c>
      <c r="C7" s="98" t="s">
        <v>9</v>
      </c>
      <c r="D7" s="98" t="s">
        <v>14</v>
      </c>
      <c r="E7" s="99" t="s">
        <v>10</v>
      </c>
    </row>
    <row r="8" spans="1:5">
      <c r="A8" s="114">
        <v>1</v>
      </c>
      <c r="B8" s="110" t="s">
        <v>114</v>
      </c>
      <c r="C8" s="124" t="s">
        <v>125</v>
      </c>
      <c r="D8" s="125"/>
      <c r="E8" s="122" t="s">
        <v>11</v>
      </c>
    </row>
    <row r="9" spans="1:5">
      <c r="A9" s="114">
        <v>2</v>
      </c>
      <c r="B9" s="110" t="s">
        <v>115</v>
      </c>
      <c r="C9" s="105" t="str">
        <f>VLOOKUP(Table257552526910242533[[#This Row],[PEG]],Table1016[#All],2,FALSE)</f>
        <v>CallID.wav Call ID &lt;CallID&gt;</v>
      </c>
      <c r="D9" s="149" t="s">
        <v>477</v>
      </c>
      <c r="E9" s="122" t="str">
        <f>VLOOKUP(Table257552526910242533[[#This Row],[PEG]],Table1016[#All],3,FALSE)</f>
        <v>TEST</v>
      </c>
    </row>
    <row r="10" spans="1:5" ht="30">
      <c r="A10" s="114">
        <v>3</v>
      </c>
      <c r="B10" s="110" t="s">
        <v>115</v>
      </c>
      <c r="C10" s="105" t="str">
        <f>VLOOKUP(Table257552526910242533[[#This Row],[PEG]],Table1016[#All],2,FALSE)</f>
        <v>0100.wav Thank you for calling Shell vacations Club, we are glad you called. Please have your account number available for faster service. [To continue in Spanish, press 9]</v>
      </c>
      <c r="D10" s="145">
        <v>100</v>
      </c>
      <c r="E10" s="122" t="str">
        <f>VLOOKUP(Table257552526910242533[[#This Row],[PEG]],Table1016[#All],3,FALSE)</f>
        <v>PLAY PROMPT</v>
      </c>
    </row>
    <row r="11" spans="1:5" ht="30">
      <c r="A11" s="114">
        <v>4</v>
      </c>
      <c r="B11" s="110" t="s">
        <v>115</v>
      </c>
      <c r="C11" s="105" t="str">
        <f>VLOOKUP(Table257552526910242533[[#This Row],[PEG]],Table1016[#All],2,FALSE)</f>
        <v>0110-1.wav Which would you like? You can say... reservations, payments &amp; statements, title &amp; ownership changes, or more options.</v>
      </c>
      <c r="D11" s="145">
        <v>110</v>
      </c>
      <c r="E11" s="122" t="str">
        <f>VLOOKUP(Table257552526910242533[[#This Row],[PEG]],Table1016[#All],3,FALSE)</f>
        <v>MENU PROMPT</v>
      </c>
    </row>
    <row r="12" spans="1:5">
      <c r="A12" s="114">
        <v>5</v>
      </c>
      <c r="B12" s="110" t="s">
        <v>124</v>
      </c>
      <c r="C12" s="127" t="s">
        <v>2</v>
      </c>
      <c r="D12" s="145"/>
      <c r="E12" s="122" t="e">
        <f>VLOOKUP(Table257552526910242533[[#This Row],[PEG]],Table1016[#All],3,FALSE)</f>
        <v>#N/A</v>
      </c>
    </row>
    <row r="13" spans="1:5" ht="30">
      <c r="A13" s="114">
        <v>6</v>
      </c>
      <c r="B13" s="110" t="s">
        <v>115</v>
      </c>
      <c r="C13" s="105" t="str">
        <f>VLOOKUP(Table257552526910242533[[#This Row],[PEG]],Table1016[#All],2,FALSE)</f>
        <v>0300-1.wav You can say ownership changes, check status, make a payment, or help me with something else. Which would you like?</v>
      </c>
      <c r="D13" s="145">
        <v>300</v>
      </c>
      <c r="E13" s="122" t="str">
        <f>VLOOKUP(Table257552526910242533[[#This Row],[PEG]],Table1016[#All],3,FALSE)</f>
        <v>MENU PROMPT</v>
      </c>
    </row>
    <row r="14" spans="1:5">
      <c r="A14" s="114">
        <v>7</v>
      </c>
      <c r="B14" s="110" t="s">
        <v>124</v>
      </c>
      <c r="C14" s="105" t="s">
        <v>492</v>
      </c>
      <c r="D14" s="112"/>
      <c r="E14" s="122" t="e">
        <f>VLOOKUP(Table257552526910242533[[#This Row],[PEG]],Table1016[#All],3,FALSE)</f>
        <v>#N/A</v>
      </c>
    </row>
    <row r="15" spans="1:5">
      <c r="A15" s="114">
        <v>8</v>
      </c>
      <c r="B15" s="110" t="s">
        <v>115</v>
      </c>
      <c r="C15" s="105" t="str">
        <f>VLOOKUP(Table257552526910242533[[#This Row],[PEG]],Table1016[#All],2,FALSE)</f>
        <v>0200-1.wav To get started, what is your account number?</v>
      </c>
      <c r="D15" s="112">
        <v>200</v>
      </c>
      <c r="E15" s="122" t="str">
        <f>VLOOKUP(Table257552526910242533[[#This Row],[PEG]],Table1016[#All],3,FALSE)</f>
        <v>MENU PROMPT</v>
      </c>
    </row>
    <row r="16" spans="1:5">
      <c r="A16" s="114">
        <v>9</v>
      </c>
      <c r="B16" s="110" t="s">
        <v>124</v>
      </c>
      <c r="C16" s="151" t="s">
        <v>483</v>
      </c>
      <c r="D16" s="113"/>
      <c r="E16" s="122" t="e">
        <f>VLOOKUP(Table257552526910242533[[#This Row],[PEG]],Table1016[#All],3,FALSE)</f>
        <v>#N/A</v>
      </c>
    </row>
    <row r="17" spans="1:5">
      <c r="A17" s="114">
        <v>10</v>
      </c>
      <c r="B17" s="110" t="s">
        <v>115</v>
      </c>
      <c r="C17" s="105" t="str">
        <f>VLOOKUP(Table257552526910242533[[#This Row],[PEG]],Table1016[#All],2,FALSE)</f>
        <v>0210-1.wav And the date of birth for the primary owner?</v>
      </c>
      <c r="D17" s="113">
        <v>210</v>
      </c>
      <c r="E17" s="122" t="str">
        <f>VLOOKUP(Table257552526910242533[[#This Row],[PEG]],Table1016[#All],3,FALSE)</f>
        <v>MENU PROMPT</v>
      </c>
    </row>
    <row r="18" spans="1:5">
      <c r="A18" s="114">
        <v>11</v>
      </c>
      <c r="B18" s="110" t="s">
        <v>124</v>
      </c>
      <c r="C18" s="124" t="s">
        <v>509</v>
      </c>
      <c r="D18" s="113"/>
      <c r="E18" s="122" t="e">
        <f>VLOOKUP(Table257552526910242533[[#This Row],[PEG]],Table1016[#All],3,FALSE)</f>
        <v>#N/A</v>
      </c>
    </row>
    <row r="19" spans="1:5">
      <c r="A19" s="114">
        <v>12</v>
      </c>
      <c r="B19" s="110" t="s">
        <v>115</v>
      </c>
      <c r="C19" s="105" t="str">
        <f>VLOOKUP(Table257552526910242533[[#This Row],[PEG]],Table1016[#All],2,FALSE)</f>
        <v>0900.wav Please hold, while I connect you to a customer service representative.</v>
      </c>
      <c r="D19" s="113">
        <v>900</v>
      </c>
      <c r="E19" s="122" t="str">
        <f>VLOOKUP(Table257552526910242533[[#This Row],[PEG]],Table1016[#All],3,FALSE)</f>
        <v>PLAY PROMPT</v>
      </c>
    </row>
    <row r="20" spans="1:5" s="93" customFormat="1">
      <c r="A20" s="114">
        <v>13</v>
      </c>
      <c r="B20" s="110" t="s">
        <v>115</v>
      </c>
      <c r="C20" s="105" t="str">
        <f>VLOOKUP(Table2575525269102425[[#This Row],[PEG]],Table1016[#All],2,FALSE)</f>
        <v>XferNbr.wav Transfer Number &lt;TransferNbr&gt;</v>
      </c>
      <c r="D20" s="113" t="s">
        <v>480</v>
      </c>
      <c r="E20" s="122"/>
    </row>
    <row r="21" spans="1:5">
      <c r="A21" s="114">
        <v>14</v>
      </c>
      <c r="B21" s="110" t="s">
        <v>13</v>
      </c>
      <c r="C21" s="105" t="s">
        <v>13</v>
      </c>
      <c r="D21" s="111"/>
      <c r="E21" s="31"/>
    </row>
    <row r="22" spans="1:5">
      <c r="C22" s="25"/>
      <c r="D22" s="107" t="s">
        <v>0</v>
      </c>
    </row>
    <row r="23" spans="1:5">
      <c r="C23" s="25"/>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6"/>
    </row>
    <row r="38" spans="3:3">
      <c r="C38" s="26"/>
    </row>
    <row r="39" spans="3:3">
      <c r="C39" s="26"/>
    </row>
  </sheetData>
  <mergeCells count="1">
    <mergeCell ref="A1:B1"/>
  </mergeCells>
  <conditionalFormatting sqref="E21">
    <cfRule type="containsText" dxfId="6379" priority="32" operator="containsText" text="WEB SERVICE">
      <formula>NOT(ISERROR(SEARCH("WEB SERVICE",E21)))</formula>
    </cfRule>
    <cfRule type="containsText" dxfId="6378" priority="33" operator="containsText" text="DB">
      <formula>NOT(ISERROR(SEARCH("DB",E21)))</formula>
    </cfRule>
  </conditionalFormatting>
  <conditionalFormatting sqref="C9:C15 C19 C21:C9978">
    <cfRule type="expression" dxfId="6377" priority="35">
      <formula>$B9="Dial"</formula>
    </cfRule>
    <cfRule type="expression" dxfId="6376" priority="37">
      <formula>$B9="HANGUP"</formula>
    </cfRule>
  </conditionalFormatting>
  <conditionalFormatting sqref="C8 C18">
    <cfRule type="expression" dxfId="6375" priority="4">
      <formula>$B8="Dial"</formula>
    </cfRule>
    <cfRule type="expression" dxfId="6374" priority="5">
      <formula>$B8="HANGUP"</formula>
    </cfRule>
  </conditionalFormatting>
  <conditionalFormatting sqref="B8:B21">
    <cfRule type="containsText" dxfId="6373" priority="8" operator="containsText" text="Hear">
      <formula>NOT(ISERROR(SEARCH("Hear",B8)))</formula>
    </cfRule>
  </conditionalFormatting>
  <conditionalFormatting sqref="C17">
    <cfRule type="expression" dxfId="6372" priority="9">
      <formula>$B17="Dial"</formula>
    </cfRule>
    <cfRule type="expression" dxfId="6371" priority="11">
      <formula>$B17="HANGUP"</formula>
    </cfRule>
  </conditionalFormatting>
  <conditionalFormatting sqref="C17 C9:C15 C19 C21">
    <cfRule type="expression" dxfId="6370" priority="10">
      <formula>$B9="Speak"</formula>
    </cfRule>
  </conditionalFormatting>
  <conditionalFormatting sqref="C16">
    <cfRule type="expression" dxfId="6369" priority="6">
      <formula>$B16="Dial"</formula>
    </cfRule>
    <cfRule type="expression" dxfId="6368" priority="7">
      <formula>$B16="HANGUP"</formula>
    </cfRule>
  </conditionalFormatting>
  <conditionalFormatting sqref="C20">
    <cfRule type="expression" dxfId="6367" priority="2">
      <formula>$B20="Dial"</formula>
    </cfRule>
    <cfRule type="expression" dxfId="6366" priority="3">
      <formula>$B20="HANGUP"</formula>
    </cfRule>
  </conditionalFormatting>
  <conditionalFormatting sqref="C20">
    <cfRule type="expression" dxfId="6365" priority="1">
      <formula>$B20="Speak"</formula>
    </cfRule>
  </conditionalFormatting>
  <hyperlinks>
    <hyperlink ref="A1" location="'Test Case Overview'!A1" display="Return to Test Case Overview" xr:uid="{00000000-0004-0000-0C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738" operator="containsText" text="WEB SERVICE" id="{9F01594D-B77C-4CC7-8970-A7480CEFD2FD}">
            <xm:f>NOT(ISERROR(SEARCH("WEB SERVICE",'TC1'!#REF!)))</xm:f>
            <x14:dxf>
              <font>
                <color rgb="FF9C0006"/>
              </font>
              <fill>
                <patternFill>
                  <bgColor rgb="FFFFC7CE"/>
                </patternFill>
              </fill>
            </x14:dxf>
          </x14:cfRule>
          <x14:cfRule type="containsText" priority="739" operator="containsText" text="DB" id="{BE054B1E-A3C9-44F6-B23D-FA63EA923DDF}">
            <xm:f>NOT(ISERROR(SEARCH("DB",'TC1'!#REF!)))</xm:f>
            <x14:dxf>
              <font>
                <color rgb="FF006100"/>
              </font>
              <fill>
                <patternFill>
                  <bgColor rgb="FFC6EFCE"/>
                </patternFill>
              </fill>
            </x14:dxf>
          </x14:cfRule>
          <xm:sqref>E12:E20</xm:sqref>
        </x14:conditionalFormatting>
        <x14:conditionalFormatting xmlns:xm="http://schemas.microsoft.com/office/excel/2006/main">
          <x14:cfRule type="containsText" priority="4720" operator="containsText" text="WEB SERVICE" id="{9F01594D-B77C-4CC7-8970-A7480CEFD2FD}">
            <xm:f>NOT(ISERROR(SEARCH("WEB SERVICE",'TC1'!E11)))</xm:f>
            <x14:dxf>
              <font>
                <color rgb="FF9C0006"/>
              </font>
              <fill>
                <patternFill>
                  <bgColor rgb="FFFFC7CE"/>
                </patternFill>
              </fill>
            </x14:dxf>
          </x14:cfRule>
          <x14:cfRule type="containsText" priority="4721" operator="containsText" text="DB" id="{BE054B1E-A3C9-44F6-B23D-FA63EA923DDF}">
            <xm:f>NOT(ISERROR(SEARCH("DB",'TC1'!E11)))</xm:f>
            <x14:dxf>
              <font>
                <color rgb="FF006100"/>
              </font>
              <fill>
                <patternFill>
                  <bgColor rgb="FFC6EFCE"/>
                </patternFill>
              </fill>
            </x14:dxf>
          </x14:cfRule>
          <xm:sqref>E9:E11</xm:sqref>
        </x14:conditionalFormatting>
      </x14:conditionalFormattings>
    </ext>
  </extLst>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sheetPr codeName="Sheet131"/>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TC129</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VLOOKUP(Table257519913140106110151155166[[#This Row],[PEG]],Table1016[#All],2,FALSE)</f>
        <v>#N/A</v>
      </c>
      <c r="D9" s="125"/>
      <c r="E9" s="122" t="e">
        <f>VLOOKUP(Table257519913140106110151155166[[#This Row],[PEG]],Table1016[#All],3,FALSE)</f>
        <v>#N/A</v>
      </c>
    </row>
    <row r="10" spans="1:5">
      <c r="A10" s="114">
        <v>3</v>
      </c>
      <c r="B10" s="110" t="s">
        <v>115</v>
      </c>
      <c r="C10" s="105" t="e">
        <f>VLOOKUP(Table257519913140106110151155166[[#This Row],[PEG]],Table1016[#All],2,FALSE)</f>
        <v>#N/A</v>
      </c>
      <c r="D10" s="125"/>
      <c r="E10" s="122" t="e">
        <f>VLOOKUP(Table257519913140106110151155166[[#This Row],[PEG]],Table1016[#All],3,FALSE)</f>
        <v>#N/A</v>
      </c>
    </row>
    <row r="11" spans="1:5">
      <c r="A11" s="114">
        <v>4</v>
      </c>
      <c r="B11" s="110" t="s">
        <v>115</v>
      </c>
      <c r="C11" s="105" t="e">
        <f>VLOOKUP(Table257519913140106110151155166[[#This Row],[PEG]],Table1016[#All],2,FALSE)</f>
        <v>#N/A</v>
      </c>
      <c r="D11" s="125"/>
      <c r="E11" s="122" t="e">
        <f>VLOOKUP(Table257519913140106110151155166[[#This Row],[PEG]],Table1016[#All],3,FALSE)</f>
        <v>#N/A</v>
      </c>
    </row>
    <row r="12" spans="1:5">
      <c r="A12" s="114">
        <v>5</v>
      </c>
      <c r="B12" s="110" t="s">
        <v>114</v>
      </c>
      <c r="C12" s="105" t="e">
        <f>VLOOKUP(Table257519913140106110151155166[[#This Row],[PEG]],Table1016[#All],2,FALSE)</f>
        <v>#N/A</v>
      </c>
      <c r="D12" s="125"/>
      <c r="E12" s="122" t="e">
        <f>VLOOKUP(Table257519913140106110151155166[[#This Row],[PEG]],Table1016[#All],3,FALSE)</f>
        <v>#N/A</v>
      </c>
    </row>
    <row r="13" spans="1:5">
      <c r="A13" s="114">
        <v>6</v>
      </c>
      <c r="B13" s="110" t="s">
        <v>115</v>
      </c>
      <c r="C13" s="105" t="e">
        <f>VLOOKUP(Table257519913140106110151155166[[#This Row],[PEG]],Table1016[#All],2,FALSE)</f>
        <v>#N/A</v>
      </c>
      <c r="D13" s="125"/>
      <c r="E13" s="122" t="e">
        <f>VLOOKUP(Table257519913140106110151155166[[#This Row],[PEG]],Table1016[#All],3,FALSE)</f>
        <v>#N/A</v>
      </c>
    </row>
    <row r="14" spans="1:5">
      <c r="A14" s="114">
        <v>7</v>
      </c>
      <c r="B14" s="110" t="s">
        <v>114</v>
      </c>
      <c r="C14" s="105" t="e">
        <f>VLOOKUP(Table257519913140106110151155166[[#This Row],[PEG]],Table1016[#All],2,FALSE)</f>
        <v>#N/A</v>
      </c>
      <c r="D14" s="125"/>
      <c r="E14" s="122" t="e">
        <f>VLOOKUP(Table257519913140106110151155166[[#This Row],[PEG]],Table1016[#All],3,FALSE)</f>
        <v>#N/A</v>
      </c>
    </row>
    <row r="15" spans="1:5">
      <c r="A15" s="114">
        <v>8</v>
      </c>
      <c r="B15" s="110" t="s">
        <v>115</v>
      </c>
      <c r="C15" s="105" t="e">
        <f>VLOOKUP(Table257519913140106110151155166[[#This Row],[PEG]],Table1016[#All],2,FALSE)</f>
        <v>#N/A</v>
      </c>
      <c r="D15" s="112"/>
      <c r="E15" s="122" t="e">
        <f>VLOOKUP(Table257519913140106110151155166[[#This Row],[PEG]],Table1016[#All],3,FALSE)</f>
        <v>#N/A</v>
      </c>
    </row>
    <row r="16" spans="1:5">
      <c r="A16" s="114">
        <v>9</v>
      </c>
      <c r="B16" s="110" t="s">
        <v>12</v>
      </c>
      <c r="C16" s="105" t="e">
        <f>VLOOKUP(Table257519913140106110151155166[[#This Row],[PEG]],Table1016[#All],2,FALSE)</f>
        <v>#N/A</v>
      </c>
      <c r="D16" s="112"/>
      <c r="E16" s="122" t="e">
        <f>VLOOKUP(Table257519913140106110151155166[[#This Row],[PEG]],Table1016[#All],3,FALSE)</f>
        <v>#N/A</v>
      </c>
    </row>
    <row r="17" spans="1:5">
      <c r="A17" s="114">
        <v>10</v>
      </c>
      <c r="B17" s="110" t="s">
        <v>12</v>
      </c>
      <c r="C17" s="105" t="e">
        <f>VLOOKUP(Table257519913140106110151155166[[#This Row],[PEG]],Table1016[#All],2,FALSE)</f>
        <v>#N/A</v>
      </c>
      <c r="D17" s="113"/>
      <c r="E17" s="122" t="e">
        <f>VLOOKUP(Table257519913140106110151155166[[#This Row],[PEG]],Table1016[#All],3,FALSE)</f>
        <v>#N/A</v>
      </c>
    </row>
    <row r="18" spans="1:5">
      <c r="A18" s="114">
        <v>11</v>
      </c>
      <c r="B18" s="110" t="s">
        <v>115</v>
      </c>
      <c r="C18" s="105" t="e">
        <f>VLOOKUP(Table257519913140106110151155166[[#This Row],[PEG]],Table1016[#All],2,FALSE)</f>
        <v>#N/A</v>
      </c>
      <c r="D18" s="113"/>
      <c r="E18" s="122" t="e">
        <f>VLOOKUP(Table257519913140106110151155166[[#This Row],[PEG]],Table1016[#All],3,FALSE)</f>
        <v>#N/A</v>
      </c>
    </row>
    <row r="19" spans="1:5">
      <c r="A19" s="114">
        <v>12</v>
      </c>
      <c r="B19" s="110" t="s">
        <v>115</v>
      </c>
      <c r="C19" s="105" t="e">
        <f>VLOOKUP(Table257519913140106110151155166[[#This Row],[PEG]],Table1016[#All],2,FALSE)</f>
        <v>#N/A</v>
      </c>
      <c r="D19" s="113"/>
      <c r="E19" s="122" t="e">
        <f>VLOOKUP(Table257519913140106110151155166[[#This Row],[PEG]],Table1016[#All],3,FALSE)</f>
        <v>#N/A</v>
      </c>
    </row>
    <row r="20" spans="1:5">
      <c r="A20" s="114">
        <v>13</v>
      </c>
      <c r="B20" s="110" t="s">
        <v>114</v>
      </c>
      <c r="C20" s="105" t="e">
        <f>VLOOKUP(Table257519913140106110151155166[[#This Row],[PEG]],Table1016[#All],2,FALSE)</f>
        <v>#N/A</v>
      </c>
      <c r="D20" s="113"/>
      <c r="E20" s="122" t="e">
        <f>VLOOKUP(Table257519913140106110151155166[[#This Row],[PEG]],Table1016[#All],3,FALSE)</f>
        <v>#N/A</v>
      </c>
    </row>
    <row r="21" spans="1:5">
      <c r="A21" s="114">
        <v>14</v>
      </c>
      <c r="B21" s="110" t="s">
        <v>12</v>
      </c>
      <c r="C21" s="105" t="e">
        <f>VLOOKUP(Table257519913140106110151155166[[#This Row],[PEG]],Table1016[#All],2,FALSE)</f>
        <v>#N/A</v>
      </c>
      <c r="D21" s="113"/>
      <c r="E21" s="122" t="e">
        <f>VLOOKUP(Table257519913140106110151155166[[#This Row],[PEG]],Table1016[#All],3,FALSE)</f>
        <v>#N/A</v>
      </c>
    </row>
    <row r="22" spans="1:5">
      <c r="A22" s="114">
        <v>15</v>
      </c>
      <c r="B22" s="110" t="s">
        <v>12</v>
      </c>
      <c r="C22" s="105" t="e">
        <f>VLOOKUP(Table257519913140106110151155166[[#This Row],[PEG]],Table1016[#All],2,FALSE)</f>
        <v>#N/A</v>
      </c>
      <c r="D22" s="113"/>
      <c r="E22" s="122" t="e">
        <f>VLOOKUP(Table257519913140106110151155166[[#This Row],[PEG]],Table1016[#All],3,FALSE)</f>
        <v>#N/A</v>
      </c>
    </row>
    <row r="23" spans="1:5">
      <c r="A23" s="114">
        <v>16</v>
      </c>
      <c r="B23" s="110" t="s">
        <v>115</v>
      </c>
      <c r="C23" s="105" t="e">
        <f>VLOOKUP(Table257519913140106110151155166[[#This Row],[PEG]],Table1016[#All],2,FALSE)</f>
        <v>#N/A</v>
      </c>
      <c r="D23" s="113"/>
      <c r="E23" s="122" t="e">
        <f>VLOOKUP(Table257519913140106110151155166[[#This Row],[PEG]],Table1016[#All],3,FALSE)</f>
        <v>#N/A</v>
      </c>
    </row>
    <row r="24" spans="1:5">
      <c r="A24" s="114">
        <v>17</v>
      </c>
      <c r="B24" s="110" t="s">
        <v>114</v>
      </c>
      <c r="C24" s="105" t="e">
        <f>VLOOKUP(Table257519913140106110151155166[[#This Row],[PEG]],Table1016[#All],2,FALSE)</f>
        <v>#N/A</v>
      </c>
      <c r="D24" s="113"/>
      <c r="E24" s="122" t="e">
        <f>VLOOKUP(Table257519913140106110151155166[[#This Row],[PEG]],Table1016[#All],3,FALSE)</f>
        <v>#N/A</v>
      </c>
    </row>
    <row r="25" spans="1:5">
      <c r="A25" s="114">
        <v>18</v>
      </c>
      <c r="B25" s="110" t="s">
        <v>12</v>
      </c>
      <c r="C25" s="105" t="e">
        <f>VLOOKUP(Table257519913140106110151155166[[#This Row],[PEG]],Table1016[#All],2,FALSE)</f>
        <v>#N/A</v>
      </c>
      <c r="D25" s="113"/>
      <c r="E25" s="122" t="e">
        <f>VLOOKUP(Table257519913140106110151155166[[#This Row],[PEG]],Table1016[#All],3,FALSE)</f>
        <v>#N/A</v>
      </c>
    </row>
    <row r="26" spans="1:5">
      <c r="A26" s="114">
        <v>19</v>
      </c>
      <c r="B26" s="110" t="s">
        <v>12</v>
      </c>
      <c r="C26" s="105" t="e">
        <f>VLOOKUP(Table257519913140106110151155166[[#This Row],[PEG]],Table1016[#All],2,FALSE)</f>
        <v>#N/A</v>
      </c>
      <c r="D26" s="113"/>
      <c r="E26" s="122" t="e">
        <f>VLOOKUP(Table257519913140106110151155166[[#This Row],[PEG]],Table1016[#All],3,FALSE)</f>
        <v>#N/A</v>
      </c>
    </row>
    <row r="27" spans="1:5">
      <c r="A27" s="114">
        <v>20</v>
      </c>
      <c r="B27" s="110" t="s">
        <v>115</v>
      </c>
      <c r="C27" s="105" t="e">
        <f>VLOOKUP(Table257519913140106110151155166[[#This Row],[PEG]],Table1016[#All],2,FALSE)</f>
        <v>#N/A</v>
      </c>
      <c r="D27" s="113"/>
      <c r="E27" s="122" t="e">
        <f>VLOOKUP(Table257519913140106110151155166[[#This Row],[PEG]],Table1016[#All],3,FALSE)</f>
        <v>#N/A</v>
      </c>
    </row>
    <row r="28" spans="1:5">
      <c r="A28" s="114">
        <v>21</v>
      </c>
      <c r="B28" s="110" t="s">
        <v>114</v>
      </c>
      <c r="C28" s="105" t="e">
        <f>VLOOKUP(Table257519913140106110151155166[[#This Row],[PEG]],Table1016[#All],2,FALSE)</f>
        <v>#N/A</v>
      </c>
      <c r="D28" s="113"/>
      <c r="E28" s="122" t="e">
        <f>VLOOKUP(Table257519913140106110151155166[[#This Row],[PEG]],Table1016[#All],3,FALSE)</f>
        <v>#N/A</v>
      </c>
    </row>
    <row r="29" spans="1:5">
      <c r="A29" s="114">
        <v>22</v>
      </c>
      <c r="B29" s="110" t="s">
        <v>12</v>
      </c>
      <c r="C29" s="105" t="e">
        <f>VLOOKUP(Table257519913140106110151155166[[#This Row],[PEG]],Table1016[#All],2,FALSE)</f>
        <v>#N/A</v>
      </c>
      <c r="D29" s="113"/>
      <c r="E29" s="122" t="e">
        <f>VLOOKUP(Table257519913140106110151155166[[#This Row],[PEG]],Table1016[#All],3,FALSE)</f>
        <v>#N/A</v>
      </c>
    </row>
    <row r="30" spans="1:5">
      <c r="A30" s="114">
        <v>23</v>
      </c>
      <c r="B30" s="110" t="s">
        <v>12</v>
      </c>
      <c r="C30" s="105" t="e">
        <f>VLOOKUP(Table257519913140106110151155166[[#This Row],[PEG]],Table1016[#All],2,FALSE)</f>
        <v>#N/A</v>
      </c>
      <c r="D30" s="113"/>
      <c r="E30" s="122" t="e">
        <f>VLOOKUP(Table257519913140106110151155166[[#This Row],[PEG]],Table1016[#All],3,FALSE)</f>
        <v>#N/A</v>
      </c>
    </row>
    <row r="31" spans="1:5">
      <c r="A31" s="114">
        <v>24</v>
      </c>
      <c r="B31" s="110" t="s">
        <v>115</v>
      </c>
      <c r="C31" s="105" t="e">
        <f>VLOOKUP(Table257519913140106110151155166[[#This Row],[PEG]],Table1016[#All],2,FALSE)</f>
        <v>#N/A</v>
      </c>
      <c r="D31" s="113"/>
      <c r="E31" s="122" t="e">
        <f>VLOOKUP(Table257519913140106110151155166[[#This Row],[PEG]],Table1016[#All],3,FALSE)</f>
        <v>#N/A</v>
      </c>
    </row>
    <row r="32" spans="1:5">
      <c r="A32" s="114">
        <v>25</v>
      </c>
      <c r="B32" s="110" t="s">
        <v>115</v>
      </c>
      <c r="C32" s="105" t="e">
        <f>VLOOKUP(Table257519913140106110151155166[[#This Row],[PEG]],Table1016[#All],2,FALSE)</f>
        <v>#N/A</v>
      </c>
      <c r="D32" s="113"/>
      <c r="E32" s="122" t="e">
        <f>VLOOKUP(Table257519913140106110151155166[[#This Row],[PEG]],Table1016[#All],3,FALSE)</f>
        <v>#N/A</v>
      </c>
    </row>
    <row r="33" spans="1:5">
      <c r="A33" s="114">
        <v>26</v>
      </c>
      <c r="B33" s="110" t="s">
        <v>124</v>
      </c>
      <c r="C33" s="105" t="e">
        <f>VLOOKUP(Table257519913140106110151155166[[#This Row],[PEG]],Table1016[#All],2,FALSE)</f>
        <v>#N/A</v>
      </c>
      <c r="D33" s="113"/>
      <c r="E33" s="122" t="e">
        <f>VLOOKUP(Table257519913140106110151155166[[#This Row],[PEG]],Table1016[#All],3,FALSE)</f>
        <v>#N/A</v>
      </c>
    </row>
    <row r="34" spans="1:5">
      <c r="A34" s="114">
        <v>27</v>
      </c>
      <c r="B34" s="110" t="s">
        <v>115</v>
      </c>
      <c r="C34" s="105" t="e">
        <f>VLOOKUP(Table257519913140106110151155166[[#This Row],[PEG]],Table1016[#All],2,FALSE)</f>
        <v>#N/A</v>
      </c>
      <c r="D34" s="113"/>
      <c r="E34" s="122" t="e">
        <f>VLOOKUP(Table257519913140106110151155166[[#This Row],[PEG]],Table1016[#All],3,FALSE)</f>
        <v>#N/A</v>
      </c>
    </row>
    <row r="35" spans="1:5">
      <c r="A35" s="114">
        <v>28</v>
      </c>
      <c r="B35" s="110" t="s">
        <v>124</v>
      </c>
      <c r="C35" s="105" t="e">
        <f>VLOOKUP(Table257519913140106110151155166[[#This Row],[PEG]],Table1016[#All],2,FALSE)</f>
        <v>#N/A</v>
      </c>
      <c r="D35" s="113"/>
      <c r="E35" s="122" t="e">
        <f>VLOOKUP(Table257519913140106110151155166[[#This Row],[PEG]],Table1016[#All],3,FALSE)</f>
        <v>#N/A</v>
      </c>
    </row>
    <row r="36" spans="1:5">
      <c r="A36" s="114">
        <v>29</v>
      </c>
      <c r="B36" s="110" t="s">
        <v>115</v>
      </c>
      <c r="C36" s="105" t="e">
        <f>VLOOKUP(Table257519913140106110151155166[[#This Row],[PEG]],Table1016[#All],2,FALSE)</f>
        <v>#N/A</v>
      </c>
      <c r="D36" s="113"/>
      <c r="E36" s="122" t="e">
        <f>VLOOKUP(Table257519913140106110151155166[[#This Row],[PEG]],Table1016[#All],3,FALSE)</f>
        <v>#N/A</v>
      </c>
    </row>
    <row r="37" spans="1:5">
      <c r="A37" s="114">
        <v>30</v>
      </c>
      <c r="B37" s="110" t="s">
        <v>12</v>
      </c>
      <c r="C37" s="105" t="e">
        <f>VLOOKUP(Table257519913140106110151155166[[#This Row],[PEG]],Table1016[#All],2,FALSE)</f>
        <v>#N/A</v>
      </c>
      <c r="D37" s="113"/>
      <c r="E37" s="122" t="e">
        <f>VLOOKUP(Table257519913140106110151155166[[#This Row],[PEG]],Table1016[#All],3,FALSE)</f>
        <v>#N/A</v>
      </c>
    </row>
    <row r="38" spans="1:5">
      <c r="A38" s="114">
        <v>31</v>
      </c>
      <c r="B38" s="110" t="s">
        <v>12</v>
      </c>
      <c r="C38" s="105" t="e">
        <f>VLOOKUP(Table257519913140106110151155166[[#This Row],[PEG]],Table1016[#All],2,FALSE)</f>
        <v>#N/A</v>
      </c>
      <c r="D38" s="113"/>
      <c r="E38" s="122" t="e">
        <f>VLOOKUP(Table257519913140106110151155166[[#This Row],[PEG]],Table1016[#All],3,FALSE)</f>
        <v>#N/A</v>
      </c>
    </row>
    <row r="39" spans="1:5">
      <c r="A39" s="114">
        <v>32</v>
      </c>
      <c r="B39" s="110" t="s">
        <v>12</v>
      </c>
      <c r="C39" s="105" t="e">
        <f>VLOOKUP(Table257519913140106110151155166[[#This Row],[PEG]],Table1016[#All],2,FALSE)</f>
        <v>#N/A</v>
      </c>
      <c r="D39" s="113"/>
      <c r="E39" s="122" t="e">
        <f>VLOOKUP(Table257519913140106110151155166[[#This Row],[PEG]],Table1016[#All],3,FALSE)</f>
        <v>#N/A</v>
      </c>
    </row>
    <row r="40" spans="1:5">
      <c r="A40" s="114">
        <v>33</v>
      </c>
      <c r="B40" s="110" t="s">
        <v>12</v>
      </c>
      <c r="C40" s="105" t="e">
        <f>VLOOKUP(Table257519913140106110151155166[[#This Row],[PEG]],Table1016[#All],2,FALSE)</f>
        <v>#N/A</v>
      </c>
      <c r="D40" s="113"/>
      <c r="E40" s="122" t="e">
        <f>VLOOKUP(Table257519913140106110151155166[[#This Row],[PEG]],Table1016[#All],3,FALSE)</f>
        <v>#N/A</v>
      </c>
    </row>
    <row r="41" spans="1:5">
      <c r="A41" s="114">
        <v>34</v>
      </c>
      <c r="B41" s="110" t="s">
        <v>115</v>
      </c>
      <c r="C41" s="105" t="e">
        <f>VLOOKUP(Table257519913140106110151155166[[#This Row],[PEG]],Table1016[#All],2,FALSE)</f>
        <v>#N/A</v>
      </c>
      <c r="D41" s="113"/>
      <c r="E41" s="122" t="e">
        <f>VLOOKUP(Table257519913140106110151155166[[#This Row],[PEG]],Table1016[#All],3,FALSE)</f>
        <v>#N/A</v>
      </c>
    </row>
    <row r="42" spans="1:5">
      <c r="A42" s="114">
        <v>35</v>
      </c>
      <c r="B42" s="110" t="s">
        <v>12</v>
      </c>
      <c r="C42" s="105" t="e">
        <f>VLOOKUP(Table257519913140106110151155166[[#This Row],[PEG]],Table1016[#All],2,FALSE)</f>
        <v>#N/A</v>
      </c>
      <c r="D42" s="111"/>
      <c r="E42" s="122" t="e">
        <f>VLOOKUP(Table257519913140106110151155166[[#This Row],[PEG]],Table1016[#All],3,FALSE)</f>
        <v>#N/A</v>
      </c>
    </row>
    <row r="43" spans="1:5">
      <c r="A43" s="114">
        <v>36</v>
      </c>
      <c r="B43" s="110" t="s">
        <v>115</v>
      </c>
      <c r="C43" s="105" t="e">
        <f>VLOOKUP(Table257519913140106110151155166[[#This Row],[PEG]],Table1016[#All],2,FALSE)</f>
        <v>#N/A</v>
      </c>
      <c r="D43" s="111"/>
      <c r="E43" s="122" t="e">
        <f>VLOOKUP(Table257519913140106110151155166[[#This Row],[PEG]],Table1016[#All],3,FALSE)</f>
        <v>#N/A</v>
      </c>
    </row>
    <row r="44" spans="1:5">
      <c r="A44" s="114">
        <v>37</v>
      </c>
      <c r="B44" s="110" t="s">
        <v>13</v>
      </c>
      <c r="C44" s="17" t="s">
        <v>13</v>
      </c>
      <c r="D44" s="111"/>
      <c r="E44" s="31"/>
    </row>
  </sheetData>
  <mergeCells count="1">
    <mergeCell ref="A1:B1"/>
  </mergeCells>
  <conditionalFormatting sqref="B8:B18">
    <cfRule type="containsText" dxfId="2038" priority="1" operator="containsText" text="Hear">
      <formula>NOT(ISERROR(SEARCH("Hear",B8)))</formula>
    </cfRule>
  </conditionalFormatting>
  <conditionalFormatting sqref="B30">
    <cfRule type="containsText" dxfId="2037" priority="4" operator="containsText" text="Hear">
      <formula>NOT(ISERROR(SEARCH("Hear",B30)))</formula>
    </cfRule>
  </conditionalFormatting>
  <conditionalFormatting sqref="B43:B44">
    <cfRule type="containsText" dxfId="2036" priority="8" operator="containsText" text="Hear">
      <formula>NOT(ISERROR(SEARCH("Hear",B43)))</formula>
    </cfRule>
  </conditionalFormatting>
  <conditionalFormatting sqref="E44">
    <cfRule type="containsText" dxfId="2035" priority="6" operator="containsText" text="WEB SERVICE">
      <formula>NOT(ISERROR(SEARCH("WEB SERVICE",E44)))</formula>
    </cfRule>
    <cfRule type="containsText" dxfId="2034" priority="7" operator="containsText" text="DB">
      <formula>NOT(ISERROR(SEARCH("DB",E44)))</formula>
    </cfRule>
  </conditionalFormatting>
  <conditionalFormatting sqref="C44">
    <cfRule type="expression" dxfId="2033" priority="9">
      <formula>$B44="HANGUP"</formula>
    </cfRule>
    <cfRule type="expression" dxfId="2032" priority="9">
      <formula>$B44="Dial"</formula>
    </cfRule>
  </conditionalFormatting>
  <conditionalFormatting sqref="C44">
    <cfRule type="expression" dxfId="2031" priority="3">
      <formula>$B44="Speak"</formula>
    </cfRule>
  </conditionalFormatting>
  <conditionalFormatting sqref="B36:B38 B40:B41">
    <cfRule type="containsText" dxfId="2030" priority="10" operator="containsText" text="Hear">
      <formula>NOT(ISERROR(SEARCH("Hear",B36)))</formula>
    </cfRule>
  </conditionalFormatting>
  <conditionalFormatting sqref="B19:B29 B31:B35 B42">
    <cfRule type="containsText" dxfId="2029" priority="5" operator="containsText" text="Hear">
      <formula>NOT(ISERROR(SEARCH("Hear",B19)))</formula>
    </cfRule>
  </conditionalFormatting>
  <hyperlinks>
    <hyperlink ref="A1" location="'Test Case Overview'!A1" display="Return to Test Case Overview" xr:uid="{00000000-0004-0000-81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B8591DC1-411C-4432-B56C-A055BB35B64B}">
            <xm:f>'TC1'!$B8="HANGUP"</xm:f>
            <x14:dxf>
              <font>
                <b/>
                <i val="0"/>
              </font>
            </x14:dxf>
          </x14:cfRule>
          <x14:cfRule type="expression" priority="11" id="{5E080A24-3753-4661-A21E-D8A1BACD56B0}">
            <xm:f>'TC1'!$B8="Dial"</xm:f>
            <x14:dxf>
              <font>
                <b/>
                <i val="0"/>
                <color rgb="FFFF0000"/>
              </font>
            </x14:dxf>
          </x14:cfRule>
          <xm:sqref>C8</xm:sqref>
        </x14:conditionalFormatting>
        <x14:conditionalFormatting xmlns:xm="http://schemas.microsoft.com/office/excel/2006/main">
          <x14:cfRule type="expression" priority="12" id="{0C93B64F-0679-4F7A-B35A-E1F01B746CAC}">
            <xm:f>'TC1'!$B8="Speak"</xm:f>
            <x14:dxf>
              <font>
                <b/>
                <i val="0"/>
                <color rgb="FFFF0000"/>
              </font>
            </x14:dxf>
          </x14:cfRule>
          <xm:sqref>C8</xm:sqref>
        </x14:conditionalFormatting>
        <x14:conditionalFormatting xmlns:xm="http://schemas.microsoft.com/office/excel/2006/main">
          <x14:cfRule type="containsText" priority="13" operator="containsText" text="DB" id="{31A29EAD-512B-43F0-813D-E0695F9C21BB}">
            <xm:f>NOT(ISERROR(SEARCH("DB",'TC1'!E10)))</xm:f>
            <x14:dxf>
              <font>
                <color rgb="FF006100"/>
              </font>
              <fill>
                <patternFill>
                  <bgColor rgb="FFC6EFCE"/>
                </patternFill>
              </fill>
            </x14:dxf>
          </x14:cfRule>
          <x14:cfRule type="containsText" priority="13" operator="containsText" text="WEB SERVICE" id="{FC699CCD-F7C8-4567-A716-A9E26AEB2B3B}">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containsText" priority="15" operator="containsText" text="Hear" id="{AB731288-1C95-41A2-806C-290BA41942A5}">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846" id="{B8591DC1-411C-4432-B56C-A055BB35B64B}">
            <xm:f>'TC1'!$B14="HANGUP"</xm:f>
            <x14:dxf>
              <font>
                <b/>
                <i val="0"/>
              </font>
            </x14:dxf>
          </x14:cfRule>
          <x14:cfRule type="expression" priority="2847" id="{5E080A24-3753-4661-A21E-D8A1BACD56B0}">
            <xm:f>'TC1'!$B14="Dial"</xm:f>
            <x14:dxf>
              <font>
                <b/>
                <i val="0"/>
                <color rgb="FFFF0000"/>
              </font>
            </x14:dxf>
          </x14:cfRule>
          <xm:sqref>C34:C43</xm:sqref>
        </x14:conditionalFormatting>
        <x14:conditionalFormatting xmlns:xm="http://schemas.microsoft.com/office/excel/2006/main">
          <x14:cfRule type="expression" priority="2848" id="{B8591DC1-411C-4432-B56C-A055BB35B64B}">
            <xm:f>'TC1'!#REF!="HANGUP"</xm:f>
            <x14:dxf>
              <font>
                <b/>
                <i val="0"/>
              </font>
            </x14:dxf>
          </x14:cfRule>
          <x14:cfRule type="expression" priority="2849" id="{5E080A24-3753-4661-A21E-D8A1BACD56B0}">
            <xm:f>'TC1'!#REF!="Dial"</xm:f>
            <x14:dxf>
              <font>
                <b/>
                <i val="0"/>
                <color rgb="FFFF0000"/>
              </font>
            </x14:dxf>
          </x14:cfRule>
          <xm:sqref>C13:C33</xm:sqref>
        </x14:conditionalFormatting>
        <x14:conditionalFormatting xmlns:xm="http://schemas.microsoft.com/office/excel/2006/main">
          <x14:cfRule type="expression" priority="2853" id="{0C93B64F-0679-4F7A-B35A-E1F01B746CAC}">
            <xm:f>'TC1'!$B14="Speak"</xm:f>
            <x14:dxf>
              <font>
                <b/>
                <i val="0"/>
                <color rgb="FFFF0000"/>
              </font>
            </x14:dxf>
          </x14:cfRule>
          <xm:sqref>C34:C43</xm:sqref>
        </x14:conditionalFormatting>
        <x14:conditionalFormatting xmlns:xm="http://schemas.microsoft.com/office/excel/2006/main">
          <x14:cfRule type="expression" priority="2854" id="{0C93B64F-0679-4F7A-B35A-E1F01B746CAC}">
            <xm:f>'TC1'!#REF!="Speak"</xm:f>
            <x14:dxf>
              <font>
                <b/>
                <i val="0"/>
                <color rgb="FFFF0000"/>
              </font>
            </x14:dxf>
          </x14:cfRule>
          <xm:sqref>C13:C33</xm:sqref>
        </x14:conditionalFormatting>
        <x14:conditionalFormatting xmlns:xm="http://schemas.microsoft.com/office/excel/2006/main">
          <x14:cfRule type="containsText" priority="2858" operator="containsText" text="DB" id="{31A29EAD-512B-43F0-813D-E0695F9C21BB}">
            <xm:f>NOT(ISERROR(SEARCH("DB",'TC1'!E14)))</xm:f>
            <x14:dxf>
              <font>
                <color rgb="FF006100"/>
              </font>
              <fill>
                <patternFill>
                  <bgColor rgb="FFC6EFCE"/>
                </patternFill>
              </fill>
            </x14:dxf>
          </x14:cfRule>
          <x14:cfRule type="containsText" priority="2859" operator="containsText" text="WEB SERVICE" id="{FC699CCD-F7C8-4567-A716-A9E26AEB2B3B}">
            <xm:f>NOT(ISERROR(SEARCH("WEB SERVICE",'TC1'!E14)))</xm:f>
            <x14:dxf>
              <font>
                <color rgb="FF9C0006"/>
              </font>
              <fill>
                <patternFill>
                  <bgColor rgb="FFFFC7CE"/>
                </patternFill>
              </fill>
            </x14:dxf>
          </x14:cfRule>
          <xm:sqref>E34:E43</xm:sqref>
        </x14:conditionalFormatting>
        <x14:conditionalFormatting xmlns:xm="http://schemas.microsoft.com/office/excel/2006/main">
          <x14:cfRule type="containsText" priority="2860" operator="containsText" text="DB" id="{31A29EAD-512B-43F0-813D-E0695F9C21BB}">
            <xm:f>NOT(ISERROR(SEARCH("DB",'TC1'!#REF!)))</xm:f>
            <x14:dxf>
              <font>
                <color rgb="FF006100"/>
              </font>
              <fill>
                <patternFill>
                  <bgColor rgb="FFC6EFCE"/>
                </patternFill>
              </fill>
            </x14:dxf>
          </x14:cfRule>
          <x14:cfRule type="containsText" priority="2861" operator="containsText" text="WEB SERVICE" id="{FC699CCD-F7C8-4567-A716-A9E26AEB2B3B}">
            <xm:f>NOT(ISERROR(SEARCH("WEB SERVICE",'TC1'!#REF!)))</xm:f>
            <x14:dxf>
              <font>
                <color rgb="FF9C0006"/>
              </font>
              <fill>
                <patternFill>
                  <bgColor rgb="FFFFC7CE"/>
                </patternFill>
              </fill>
            </x14:dxf>
          </x14:cfRule>
          <xm:sqref>E13:E33</xm:sqref>
        </x14:conditionalFormatting>
        <x14:conditionalFormatting xmlns:xm="http://schemas.microsoft.com/office/excel/2006/main">
          <x14:cfRule type="expression" priority="4390" id="{B8591DC1-411C-4432-B56C-A055BB35B64B}">
            <xm:f>'TC1'!$B10="HANGUP"</xm:f>
            <x14:dxf>
              <font>
                <b/>
                <i val="0"/>
              </font>
            </x14:dxf>
          </x14:cfRule>
          <x14:cfRule type="expression" priority="4391" id="{5E080A24-3753-4661-A21E-D8A1BACD56B0}">
            <xm:f>'TC1'!$B10="Dial"</xm:f>
            <x14:dxf>
              <font>
                <b/>
                <i val="0"/>
                <color rgb="FFFF0000"/>
              </font>
            </x14:dxf>
          </x14:cfRule>
          <xm:sqref>C9:C12</xm:sqref>
        </x14:conditionalFormatting>
        <x14:conditionalFormatting xmlns:xm="http://schemas.microsoft.com/office/excel/2006/main">
          <x14:cfRule type="expression" priority="4393" id="{0C93B64F-0679-4F7A-B35A-E1F01B746CAC}">
            <xm:f>'TC1'!$B10="Speak"</xm:f>
            <x14:dxf>
              <font>
                <b/>
                <i val="0"/>
                <color rgb="FFFF0000"/>
              </font>
            </x14:dxf>
          </x14:cfRule>
          <xm:sqref>C9:C12</xm:sqref>
        </x14:conditionalFormatting>
        <x14:conditionalFormatting xmlns:xm="http://schemas.microsoft.com/office/excel/2006/main">
          <x14:cfRule type="containsText" priority="6213" operator="containsText" text="Hear" id="{4981CF9D-A599-4BB2-8DF4-9F58F15BB75E}">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sheetPr codeName="Sheet132"/>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TC130</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VLOOKUP(Table257519913140106110151155168[[#This Row],[PEG]],Table1016[#All],2,FALSE)</f>
        <v>#N/A</v>
      </c>
      <c r="D9" s="125"/>
      <c r="E9" s="122" t="e">
        <f>VLOOKUP(Table257519913140106110151155168[[#This Row],[PEG]],Table1016[#All],3,FALSE)</f>
        <v>#N/A</v>
      </c>
    </row>
    <row r="10" spans="1:5">
      <c r="A10" s="114">
        <v>3</v>
      </c>
      <c r="B10" s="110" t="s">
        <v>115</v>
      </c>
      <c r="C10" s="105" t="e">
        <f>VLOOKUP(Table257519913140106110151155168[[#This Row],[PEG]],Table1016[#All],2,FALSE)</f>
        <v>#N/A</v>
      </c>
      <c r="D10" s="125"/>
      <c r="E10" s="122" t="e">
        <f>VLOOKUP(Table257519913140106110151155168[[#This Row],[PEG]],Table1016[#All],3,FALSE)</f>
        <v>#N/A</v>
      </c>
    </row>
    <row r="11" spans="1:5">
      <c r="A11" s="114">
        <v>4</v>
      </c>
      <c r="B11" s="110" t="s">
        <v>115</v>
      </c>
      <c r="C11" s="105" t="e">
        <f>VLOOKUP(Table257519913140106110151155168[[#This Row],[PEG]],Table1016[#All],2,FALSE)</f>
        <v>#N/A</v>
      </c>
      <c r="D11" s="125"/>
      <c r="E11" s="122" t="e">
        <f>VLOOKUP(Table257519913140106110151155168[[#This Row],[PEG]],Table1016[#All],3,FALSE)</f>
        <v>#N/A</v>
      </c>
    </row>
    <row r="12" spans="1:5">
      <c r="A12" s="114">
        <v>5</v>
      </c>
      <c r="B12" s="110" t="s">
        <v>114</v>
      </c>
      <c r="C12" s="105" t="e">
        <f>VLOOKUP(Table257519913140106110151155168[[#This Row],[PEG]],Table1016[#All],2,FALSE)</f>
        <v>#N/A</v>
      </c>
      <c r="D12" s="125"/>
      <c r="E12" s="122" t="e">
        <f>VLOOKUP(Table257519913140106110151155168[[#This Row],[PEG]],Table1016[#All],3,FALSE)</f>
        <v>#N/A</v>
      </c>
    </row>
    <row r="13" spans="1:5">
      <c r="A13" s="114">
        <v>6</v>
      </c>
      <c r="B13" s="110" t="s">
        <v>115</v>
      </c>
      <c r="C13" s="105" t="e">
        <f>VLOOKUP(Table257519913140106110151155168[[#This Row],[PEG]],Table1016[#All],2,FALSE)</f>
        <v>#N/A</v>
      </c>
      <c r="D13" s="125"/>
      <c r="E13" s="122" t="e">
        <f>VLOOKUP(Table257519913140106110151155168[[#This Row],[PEG]],Table1016[#All],3,FALSE)</f>
        <v>#N/A</v>
      </c>
    </row>
    <row r="14" spans="1:5">
      <c r="A14" s="114">
        <v>7</v>
      </c>
      <c r="B14" s="110" t="s">
        <v>114</v>
      </c>
      <c r="C14" s="105" t="e">
        <f>VLOOKUP(Table257519913140106110151155168[[#This Row],[PEG]],Table1016[#All],2,FALSE)</f>
        <v>#N/A</v>
      </c>
      <c r="D14" s="125"/>
      <c r="E14" s="122" t="e">
        <f>VLOOKUP(Table257519913140106110151155168[[#This Row],[PEG]],Table1016[#All],3,FALSE)</f>
        <v>#N/A</v>
      </c>
    </row>
    <row r="15" spans="1:5">
      <c r="A15" s="114">
        <v>8</v>
      </c>
      <c r="B15" s="110" t="s">
        <v>115</v>
      </c>
      <c r="C15" s="105" t="e">
        <f>VLOOKUP(Table257519913140106110151155168[[#This Row],[PEG]],Table1016[#All],2,FALSE)</f>
        <v>#N/A</v>
      </c>
      <c r="D15" s="112"/>
      <c r="E15" s="122" t="e">
        <f>VLOOKUP(Table257519913140106110151155168[[#This Row],[PEG]],Table1016[#All],3,FALSE)</f>
        <v>#N/A</v>
      </c>
    </row>
    <row r="16" spans="1:5">
      <c r="A16" s="114">
        <v>9</v>
      </c>
      <c r="B16" s="110" t="s">
        <v>12</v>
      </c>
      <c r="C16" s="105" t="e">
        <f>VLOOKUP(Table257519913140106110151155168[[#This Row],[PEG]],Table1016[#All],2,FALSE)</f>
        <v>#N/A</v>
      </c>
      <c r="D16" s="112"/>
      <c r="E16" s="122" t="e">
        <f>VLOOKUP(Table257519913140106110151155168[[#This Row],[PEG]],Table1016[#All],3,FALSE)</f>
        <v>#N/A</v>
      </c>
    </row>
    <row r="17" spans="1:5">
      <c r="A17" s="114">
        <v>10</v>
      </c>
      <c r="B17" s="110" t="s">
        <v>12</v>
      </c>
      <c r="C17" s="105" t="e">
        <f>VLOOKUP(Table257519913140106110151155168[[#This Row],[PEG]],Table1016[#All],2,FALSE)</f>
        <v>#N/A</v>
      </c>
      <c r="D17" s="113"/>
      <c r="E17" s="122" t="e">
        <f>VLOOKUP(Table257519913140106110151155168[[#This Row],[PEG]],Table1016[#All],3,FALSE)</f>
        <v>#N/A</v>
      </c>
    </row>
    <row r="18" spans="1:5">
      <c r="A18" s="114">
        <v>11</v>
      </c>
      <c r="B18" s="110" t="s">
        <v>115</v>
      </c>
      <c r="C18" s="105" t="e">
        <f>VLOOKUP(Table257519913140106110151155168[[#This Row],[PEG]],Table1016[#All],2,FALSE)</f>
        <v>#N/A</v>
      </c>
      <c r="D18" s="113"/>
      <c r="E18" s="122" t="e">
        <f>VLOOKUP(Table257519913140106110151155168[[#This Row],[PEG]],Table1016[#All],3,FALSE)</f>
        <v>#N/A</v>
      </c>
    </row>
    <row r="19" spans="1:5">
      <c r="A19" s="114">
        <v>12</v>
      </c>
      <c r="B19" s="110" t="s">
        <v>115</v>
      </c>
      <c r="C19" s="105" t="e">
        <f>VLOOKUP(Table257519913140106110151155168[[#This Row],[PEG]],Table1016[#All],2,FALSE)</f>
        <v>#N/A</v>
      </c>
      <c r="D19" s="113"/>
      <c r="E19" s="122" t="e">
        <f>VLOOKUP(Table257519913140106110151155168[[#This Row],[PEG]],Table1016[#All],3,FALSE)</f>
        <v>#N/A</v>
      </c>
    </row>
    <row r="20" spans="1:5">
      <c r="A20" s="114">
        <v>13</v>
      </c>
      <c r="B20" s="110" t="s">
        <v>114</v>
      </c>
      <c r="C20" s="105" t="e">
        <f>VLOOKUP(Table257519913140106110151155168[[#This Row],[PEG]],Table1016[#All],2,FALSE)</f>
        <v>#N/A</v>
      </c>
      <c r="D20" s="113"/>
      <c r="E20" s="122" t="e">
        <f>VLOOKUP(Table257519913140106110151155168[[#This Row],[PEG]],Table1016[#All],3,FALSE)</f>
        <v>#N/A</v>
      </c>
    </row>
    <row r="21" spans="1:5">
      <c r="A21" s="114">
        <v>14</v>
      </c>
      <c r="B21" s="110" t="s">
        <v>12</v>
      </c>
      <c r="C21" s="105" t="e">
        <f>VLOOKUP(Table257519913140106110151155168[[#This Row],[PEG]],Table1016[#All],2,FALSE)</f>
        <v>#N/A</v>
      </c>
      <c r="D21" s="113"/>
      <c r="E21" s="122" t="e">
        <f>VLOOKUP(Table257519913140106110151155168[[#This Row],[PEG]],Table1016[#All],3,FALSE)</f>
        <v>#N/A</v>
      </c>
    </row>
    <row r="22" spans="1:5">
      <c r="A22" s="114">
        <v>15</v>
      </c>
      <c r="B22" s="110" t="s">
        <v>12</v>
      </c>
      <c r="C22" s="105" t="e">
        <f>VLOOKUP(Table257519913140106110151155168[[#This Row],[PEG]],Table1016[#All],2,FALSE)</f>
        <v>#N/A</v>
      </c>
      <c r="D22" s="113"/>
      <c r="E22" s="122" t="e">
        <f>VLOOKUP(Table257519913140106110151155168[[#This Row],[PEG]],Table1016[#All],3,FALSE)</f>
        <v>#N/A</v>
      </c>
    </row>
    <row r="23" spans="1:5">
      <c r="A23" s="114">
        <v>16</v>
      </c>
      <c r="B23" s="110" t="s">
        <v>115</v>
      </c>
      <c r="C23" s="105" t="e">
        <f>VLOOKUP(Table257519913140106110151155168[[#This Row],[PEG]],Table1016[#All],2,FALSE)</f>
        <v>#N/A</v>
      </c>
      <c r="D23" s="113"/>
      <c r="E23" s="122" t="e">
        <f>VLOOKUP(Table257519913140106110151155168[[#This Row],[PEG]],Table1016[#All],3,FALSE)</f>
        <v>#N/A</v>
      </c>
    </row>
    <row r="24" spans="1:5">
      <c r="A24" s="114">
        <v>17</v>
      </c>
      <c r="B24" s="110" t="s">
        <v>114</v>
      </c>
      <c r="C24" s="105" t="e">
        <f>VLOOKUP(Table257519913140106110151155168[[#This Row],[PEG]],Table1016[#All],2,FALSE)</f>
        <v>#N/A</v>
      </c>
      <c r="D24" s="113"/>
      <c r="E24" s="122" t="e">
        <f>VLOOKUP(Table257519913140106110151155168[[#This Row],[PEG]],Table1016[#All],3,FALSE)</f>
        <v>#N/A</v>
      </c>
    </row>
    <row r="25" spans="1:5">
      <c r="A25" s="114">
        <v>18</v>
      </c>
      <c r="B25" s="110" t="s">
        <v>12</v>
      </c>
      <c r="C25" s="105" t="e">
        <f>VLOOKUP(Table257519913140106110151155168[[#This Row],[PEG]],Table1016[#All],2,FALSE)</f>
        <v>#N/A</v>
      </c>
      <c r="D25" s="113"/>
      <c r="E25" s="122" t="e">
        <f>VLOOKUP(Table257519913140106110151155168[[#This Row],[PEG]],Table1016[#All],3,FALSE)</f>
        <v>#N/A</v>
      </c>
    </row>
    <row r="26" spans="1:5">
      <c r="A26" s="114">
        <v>19</v>
      </c>
      <c r="B26" s="110" t="s">
        <v>12</v>
      </c>
      <c r="C26" s="105" t="e">
        <f>VLOOKUP(Table257519913140106110151155168[[#This Row],[PEG]],Table1016[#All],2,FALSE)</f>
        <v>#N/A</v>
      </c>
      <c r="D26" s="113"/>
      <c r="E26" s="122" t="e">
        <f>VLOOKUP(Table257519913140106110151155168[[#This Row],[PEG]],Table1016[#All],3,FALSE)</f>
        <v>#N/A</v>
      </c>
    </row>
    <row r="27" spans="1:5">
      <c r="A27" s="114">
        <v>20</v>
      </c>
      <c r="B27" s="110" t="s">
        <v>115</v>
      </c>
      <c r="C27" s="105" t="e">
        <f>VLOOKUP(Table257519913140106110151155168[[#This Row],[PEG]],Table1016[#All],2,FALSE)</f>
        <v>#N/A</v>
      </c>
      <c r="D27" s="113"/>
      <c r="E27" s="122" t="e">
        <f>VLOOKUP(Table257519913140106110151155168[[#This Row],[PEG]],Table1016[#All],3,FALSE)</f>
        <v>#N/A</v>
      </c>
    </row>
    <row r="28" spans="1:5">
      <c r="A28" s="114">
        <v>21</v>
      </c>
      <c r="B28" s="110" t="s">
        <v>114</v>
      </c>
      <c r="C28" s="105" t="e">
        <f>VLOOKUP(Table257519913140106110151155168[[#This Row],[PEG]],Table1016[#All],2,FALSE)</f>
        <v>#N/A</v>
      </c>
      <c r="D28" s="113"/>
      <c r="E28" s="122" t="e">
        <f>VLOOKUP(Table257519913140106110151155168[[#This Row],[PEG]],Table1016[#All],3,FALSE)</f>
        <v>#N/A</v>
      </c>
    </row>
    <row r="29" spans="1:5">
      <c r="A29" s="114">
        <v>22</v>
      </c>
      <c r="B29" s="110" t="s">
        <v>12</v>
      </c>
      <c r="C29" s="105" t="e">
        <f>VLOOKUP(Table257519913140106110151155168[[#This Row],[PEG]],Table1016[#All],2,FALSE)</f>
        <v>#N/A</v>
      </c>
      <c r="D29" s="113"/>
      <c r="E29" s="122" t="e">
        <f>VLOOKUP(Table257519913140106110151155168[[#This Row],[PEG]],Table1016[#All],3,FALSE)</f>
        <v>#N/A</v>
      </c>
    </row>
    <row r="30" spans="1:5">
      <c r="A30" s="114">
        <v>23</v>
      </c>
      <c r="B30" s="110" t="s">
        <v>12</v>
      </c>
      <c r="C30" s="105" t="e">
        <f>VLOOKUP(Table257519913140106110151155168[[#This Row],[PEG]],Table1016[#All],2,FALSE)</f>
        <v>#N/A</v>
      </c>
      <c r="D30" s="113"/>
      <c r="E30" s="122" t="e">
        <f>VLOOKUP(Table257519913140106110151155168[[#This Row],[PEG]],Table1016[#All],3,FALSE)</f>
        <v>#N/A</v>
      </c>
    </row>
    <row r="31" spans="1:5">
      <c r="A31" s="114">
        <v>24</v>
      </c>
      <c r="B31" s="110" t="s">
        <v>115</v>
      </c>
      <c r="C31" s="105" t="e">
        <f>VLOOKUP(Table257519913140106110151155168[[#This Row],[PEG]],Table1016[#All],2,FALSE)</f>
        <v>#N/A</v>
      </c>
      <c r="D31" s="113"/>
      <c r="E31" s="122" t="e">
        <f>VLOOKUP(Table257519913140106110151155168[[#This Row],[PEG]],Table1016[#All],3,FALSE)</f>
        <v>#N/A</v>
      </c>
    </row>
    <row r="32" spans="1:5">
      <c r="A32" s="114">
        <v>25</v>
      </c>
      <c r="B32" s="110" t="s">
        <v>115</v>
      </c>
      <c r="C32" s="105" t="e">
        <f>VLOOKUP(Table257519913140106110151155168[[#This Row],[PEG]],Table1016[#All],2,FALSE)</f>
        <v>#N/A</v>
      </c>
      <c r="D32" s="113"/>
      <c r="E32" s="122" t="e">
        <f>VLOOKUP(Table257519913140106110151155168[[#This Row],[PEG]],Table1016[#All],3,FALSE)</f>
        <v>#N/A</v>
      </c>
    </row>
    <row r="33" spans="1:5">
      <c r="A33" s="114">
        <v>26</v>
      </c>
      <c r="B33" s="110" t="s">
        <v>124</v>
      </c>
      <c r="C33" s="105" t="e">
        <f>VLOOKUP(Table257519913140106110151155168[[#This Row],[PEG]],Table1016[#All],2,FALSE)</f>
        <v>#N/A</v>
      </c>
      <c r="D33" s="113"/>
      <c r="E33" s="122" t="e">
        <f>VLOOKUP(Table257519913140106110151155168[[#This Row],[PEG]],Table1016[#All],3,FALSE)</f>
        <v>#N/A</v>
      </c>
    </row>
    <row r="34" spans="1:5">
      <c r="A34" s="114">
        <v>27</v>
      </c>
      <c r="B34" s="110" t="s">
        <v>115</v>
      </c>
      <c r="C34" s="105" t="e">
        <f>VLOOKUP(Table257519913140106110151155168[[#This Row],[PEG]],Table1016[#All],2,FALSE)</f>
        <v>#N/A</v>
      </c>
      <c r="D34" s="113"/>
      <c r="E34" s="122" t="e">
        <f>VLOOKUP(Table257519913140106110151155168[[#This Row],[PEG]],Table1016[#All],3,FALSE)</f>
        <v>#N/A</v>
      </c>
    </row>
    <row r="35" spans="1:5">
      <c r="A35" s="114">
        <v>28</v>
      </c>
      <c r="B35" s="110" t="s">
        <v>124</v>
      </c>
      <c r="C35" s="105" t="e">
        <f>VLOOKUP(Table257519913140106110151155168[[#This Row],[PEG]],Table1016[#All],2,FALSE)</f>
        <v>#N/A</v>
      </c>
      <c r="D35" s="113"/>
      <c r="E35" s="122" t="e">
        <f>VLOOKUP(Table257519913140106110151155168[[#This Row],[PEG]],Table1016[#All],3,FALSE)</f>
        <v>#N/A</v>
      </c>
    </row>
    <row r="36" spans="1:5">
      <c r="A36" s="114">
        <v>29</v>
      </c>
      <c r="B36" s="110" t="s">
        <v>115</v>
      </c>
      <c r="C36" s="105" t="e">
        <f>VLOOKUP(Table257519913140106110151155168[[#This Row],[PEG]],Table1016[#All],2,FALSE)</f>
        <v>#N/A</v>
      </c>
      <c r="D36" s="113"/>
      <c r="E36" s="122" t="e">
        <f>VLOOKUP(Table257519913140106110151155168[[#This Row],[PEG]],Table1016[#All],3,FALSE)</f>
        <v>#N/A</v>
      </c>
    </row>
    <row r="37" spans="1:5">
      <c r="A37" s="114">
        <v>30</v>
      </c>
      <c r="B37" s="110" t="s">
        <v>12</v>
      </c>
      <c r="C37" s="105" t="e">
        <f>VLOOKUP(Table257519913140106110151155168[[#This Row],[PEG]],Table1016[#All],2,FALSE)</f>
        <v>#N/A</v>
      </c>
      <c r="D37" s="113"/>
      <c r="E37" s="122" t="e">
        <f>VLOOKUP(Table257519913140106110151155168[[#This Row],[PEG]],Table1016[#All],3,FALSE)</f>
        <v>#N/A</v>
      </c>
    </row>
    <row r="38" spans="1:5">
      <c r="A38" s="114">
        <v>31</v>
      </c>
      <c r="B38" s="110" t="s">
        <v>12</v>
      </c>
      <c r="C38" s="105" t="e">
        <f>VLOOKUP(Table257519913140106110151155168[[#This Row],[PEG]],Table1016[#All],2,FALSE)</f>
        <v>#N/A</v>
      </c>
      <c r="D38" s="113"/>
      <c r="E38" s="122" t="e">
        <f>VLOOKUP(Table257519913140106110151155168[[#This Row],[PEG]],Table1016[#All],3,FALSE)</f>
        <v>#N/A</v>
      </c>
    </row>
    <row r="39" spans="1:5">
      <c r="A39" s="114">
        <v>32</v>
      </c>
      <c r="B39" s="110" t="s">
        <v>12</v>
      </c>
      <c r="C39" s="105" t="e">
        <f>VLOOKUP(Table257519913140106110151155168[[#This Row],[PEG]],Table1016[#All],2,FALSE)</f>
        <v>#N/A</v>
      </c>
      <c r="D39" s="113"/>
      <c r="E39" s="122" t="e">
        <f>VLOOKUP(Table257519913140106110151155168[[#This Row],[PEG]],Table1016[#All],3,FALSE)</f>
        <v>#N/A</v>
      </c>
    </row>
    <row r="40" spans="1:5">
      <c r="A40" s="114">
        <v>33</v>
      </c>
      <c r="B40" s="110" t="s">
        <v>12</v>
      </c>
      <c r="C40" s="105" t="e">
        <f>VLOOKUP(Table257519913140106110151155168[[#This Row],[PEG]],Table1016[#All],2,FALSE)</f>
        <v>#N/A</v>
      </c>
      <c r="D40" s="113"/>
      <c r="E40" s="122" t="e">
        <f>VLOOKUP(Table257519913140106110151155168[[#This Row],[PEG]],Table1016[#All],3,FALSE)</f>
        <v>#N/A</v>
      </c>
    </row>
    <row r="41" spans="1:5">
      <c r="A41" s="114">
        <v>34</v>
      </c>
      <c r="B41" s="110" t="s">
        <v>115</v>
      </c>
      <c r="C41" s="105" t="e">
        <f>VLOOKUP(Table257519913140106110151155168[[#This Row],[PEG]],Table1016[#All],2,FALSE)</f>
        <v>#N/A</v>
      </c>
      <c r="D41" s="113"/>
      <c r="E41" s="122" t="e">
        <f>VLOOKUP(Table257519913140106110151155168[[#This Row],[PEG]],Table1016[#All],3,FALSE)</f>
        <v>#N/A</v>
      </c>
    </row>
    <row r="42" spans="1:5">
      <c r="A42" s="114">
        <v>35</v>
      </c>
      <c r="B42" s="110" t="s">
        <v>12</v>
      </c>
      <c r="C42" s="105" t="e">
        <f>VLOOKUP(Table257519913140106110151155168[[#This Row],[PEG]],Table1016[#All],2,FALSE)</f>
        <v>#N/A</v>
      </c>
      <c r="D42" s="111"/>
      <c r="E42" s="122" t="e">
        <f>VLOOKUP(Table257519913140106110151155168[[#This Row],[PEG]],Table1016[#All],3,FALSE)</f>
        <v>#N/A</v>
      </c>
    </row>
    <row r="43" spans="1:5">
      <c r="A43" s="114">
        <v>36</v>
      </c>
      <c r="B43" s="110" t="s">
        <v>115</v>
      </c>
      <c r="C43" s="105" t="e">
        <f>VLOOKUP(Table257519913140106110151155168[[#This Row],[PEG]],Table1016[#All],2,FALSE)</f>
        <v>#N/A</v>
      </c>
      <c r="D43" s="111"/>
      <c r="E43" s="122" t="e">
        <f>VLOOKUP(Table257519913140106110151155168[[#This Row],[PEG]],Table1016[#All],3,FALSE)</f>
        <v>#N/A</v>
      </c>
    </row>
    <row r="44" spans="1:5">
      <c r="A44" s="114">
        <v>37</v>
      </c>
      <c r="B44" s="110" t="s">
        <v>13</v>
      </c>
      <c r="C44" s="17" t="s">
        <v>13</v>
      </c>
      <c r="D44" s="111"/>
      <c r="E44" s="31"/>
    </row>
  </sheetData>
  <mergeCells count="1">
    <mergeCell ref="A1:B1"/>
  </mergeCells>
  <conditionalFormatting sqref="B8:B18">
    <cfRule type="containsText" dxfId="1999" priority="1" operator="containsText" text="Hear">
      <formula>NOT(ISERROR(SEARCH("Hear",B8)))</formula>
    </cfRule>
  </conditionalFormatting>
  <conditionalFormatting sqref="B30">
    <cfRule type="containsText" dxfId="1998" priority="4" operator="containsText" text="Hear">
      <formula>NOT(ISERROR(SEARCH("Hear",B30)))</formula>
    </cfRule>
  </conditionalFormatting>
  <conditionalFormatting sqref="B43:B44">
    <cfRule type="containsText" dxfId="1997" priority="8" operator="containsText" text="Hear">
      <formula>NOT(ISERROR(SEARCH("Hear",B43)))</formula>
    </cfRule>
  </conditionalFormatting>
  <conditionalFormatting sqref="E44">
    <cfRule type="containsText" dxfId="1996" priority="6" operator="containsText" text="WEB SERVICE">
      <formula>NOT(ISERROR(SEARCH("WEB SERVICE",E44)))</formula>
    </cfRule>
    <cfRule type="containsText" dxfId="1995" priority="7" operator="containsText" text="DB">
      <formula>NOT(ISERROR(SEARCH("DB",E44)))</formula>
    </cfRule>
  </conditionalFormatting>
  <conditionalFormatting sqref="C44">
    <cfRule type="expression" dxfId="1994" priority="9">
      <formula>$B44="HANGUP"</formula>
    </cfRule>
    <cfRule type="expression" dxfId="1993" priority="9">
      <formula>$B44="Dial"</formula>
    </cfRule>
  </conditionalFormatting>
  <conditionalFormatting sqref="C44">
    <cfRule type="expression" dxfId="1992" priority="3">
      <formula>$B44="Speak"</formula>
    </cfRule>
  </conditionalFormatting>
  <conditionalFormatting sqref="B36:B38 B40:B41">
    <cfRule type="containsText" dxfId="1991" priority="10" operator="containsText" text="Hear">
      <formula>NOT(ISERROR(SEARCH("Hear",B36)))</formula>
    </cfRule>
  </conditionalFormatting>
  <conditionalFormatting sqref="B19:B29 B31:B35 B42">
    <cfRule type="containsText" dxfId="1990" priority="5" operator="containsText" text="Hear">
      <formula>NOT(ISERROR(SEARCH("Hear",B19)))</formula>
    </cfRule>
  </conditionalFormatting>
  <hyperlinks>
    <hyperlink ref="A1" location="'Test Case Overview'!A1" display="Return to Test Case Overview" xr:uid="{00000000-0004-0000-82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A6D59E06-744D-4524-8D94-26D482F9F0E3}">
            <xm:f>'TC1'!$B8="HANGUP"</xm:f>
            <x14:dxf>
              <font>
                <b/>
                <i val="0"/>
              </font>
            </x14:dxf>
          </x14:cfRule>
          <x14:cfRule type="expression" priority="11" id="{5EFBFA74-F2BC-4C1E-84E1-ABD1EEC35C3E}">
            <xm:f>'TC1'!$B8="Dial"</xm:f>
            <x14:dxf>
              <font>
                <b/>
                <i val="0"/>
                <color rgb="FFFF0000"/>
              </font>
            </x14:dxf>
          </x14:cfRule>
          <xm:sqref>C8</xm:sqref>
        </x14:conditionalFormatting>
        <x14:conditionalFormatting xmlns:xm="http://schemas.microsoft.com/office/excel/2006/main">
          <x14:cfRule type="expression" priority="12" id="{CBDC9051-9D51-476B-8772-6E75FC568577}">
            <xm:f>'TC1'!$B8="Speak"</xm:f>
            <x14:dxf>
              <font>
                <b/>
                <i val="0"/>
                <color rgb="FFFF0000"/>
              </font>
            </x14:dxf>
          </x14:cfRule>
          <xm:sqref>C8</xm:sqref>
        </x14:conditionalFormatting>
        <x14:conditionalFormatting xmlns:xm="http://schemas.microsoft.com/office/excel/2006/main">
          <x14:cfRule type="containsText" priority="13" operator="containsText" text="DB" id="{34D5D391-E95E-41B0-81C6-E4D8F0014923}">
            <xm:f>NOT(ISERROR(SEARCH("DB",'TC1'!E10)))</xm:f>
            <x14:dxf>
              <font>
                <color rgb="FF006100"/>
              </font>
              <fill>
                <patternFill>
                  <bgColor rgb="FFC6EFCE"/>
                </patternFill>
              </fill>
            </x14:dxf>
          </x14:cfRule>
          <x14:cfRule type="containsText" priority="13" operator="containsText" text="WEB SERVICE" id="{D21DA779-0858-4343-9FAF-CCC7B5C4BD49}">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containsText" priority="15" operator="containsText" text="Hear" id="{09C77113-037E-4E6D-BC26-F5C2914ECD43}">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866" id="{A6D59E06-744D-4524-8D94-26D482F9F0E3}">
            <xm:f>'TC1'!$B14="HANGUP"</xm:f>
            <x14:dxf>
              <font>
                <b/>
                <i val="0"/>
              </font>
            </x14:dxf>
          </x14:cfRule>
          <x14:cfRule type="expression" priority="2867" id="{5EFBFA74-F2BC-4C1E-84E1-ABD1EEC35C3E}">
            <xm:f>'TC1'!$B14="Dial"</xm:f>
            <x14:dxf>
              <font>
                <b/>
                <i val="0"/>
                <color rgb="FFFF0000"/>
              </font>
            </x14:dxf>
          </x14:cfRule>
          <xm:sqref>C34:C43</xm:sqref>
        </x14:conditionalFormatting>
        <x14:conditionalFormatting xmlns:xm="http://schemas.microsoft.com/office/excel/2006/main">
          <x14:cfRule type="expression" priority="2868" id="{A6D59E06-744D-4524-8D94-26D482F9F0E3}">
            <xm:f>'TC1'!#REF!="HANGUP"</xm:f>
            <x14:dxf>
              <font>
                <b/>
                <i val="0"/>
              </font>
            </x14:dxf>
          </x14:cfRule>
          <x14:cfRule type="expression" priority="2869" id="{5EFBFA74-F2BC-4C1E-84E1-ABD1EEC35C3E}">
            <xm:f>'TC1'!#REF!="Dial"</xm:f>
            <x14:dxf>
              <font>
                <b/>
                <i val="0"/>
                <color rgb="FFFF0000"/>
              </font>
            </x14:dxf>
          </x14:cfRule>
          <xm:sqref>C13:C33</xm:sqref>
        </x14:conditionalFormatting>
        <x14:conditionalFormatting xmlns:xm="http://schemas.microsoft.com/office/excel/2006/main">
          <x14:cfRule type="expression" priority="2873" id="{CBDC9051-9D51-476B-8772-6E75FC568577}">
            <xm:f>'TC1'!$B14="Speak"</xm:f>
            <x14:dxf>
              <font>
                <b/>
                <i val="0"/>
                <color rgb="FFFF0000"/>
              </font>
            </x14:dxf>
          </x14:cfRule>
          <xm:sqref>C34:C43</xm:sqref>
        </x14:conditionalFormatting>
        <x14:conditionalFormatting xmlns:xm="http://schemas.microsoft.com/office/excel/2006/main">
          <x14:cfRule type="expression" priority="2874" id="{CBDC9051-9D51-476B-8772-6E75FC568577}">
            <xm:f>'TC1'!#REF!="Speak"</xm:f>
            <x14:dxf>
              <font>
                <b/>
                <i val="0"/>
                <color rgb="FFFF0000"/>
              </font>
            </x14:dxf>
          </x14:cfRule>
          <xm:sqref>C13:C33</xm:sqref>
        </x14:conditionalFormatting>
        <x14:conditionalFormatting xmlns:xm="http://schemas.microsoft.com/office/excel/2006/main">
          <x14:cfRule type="containsText" priority="2878" operator="containsText" text="DB" id="{34D5D391-E95E-41B0-81C6-E4D8F0014923}">
            <xm:f>NOT(ISERROR(SEARCH("DB",'TC1'!E14)))</xm:f>
            <x14:dxf>
              <font>
                <color rgb="FF006100"/>
              </font>
              <fill>
                <patternFill>
                  <bgColor rgb="FFC6EFCE"/>
                </patternFill>
              </fill>
            </x14:dxf>
          </x14:cfRule>
          <x14:cfRule type="containsText" priority="2879" operator="containsText" text="WEB SERVICE" id="{D21DA779-0858-4343-9FAF-CCC7B5C4BD49}">
            <xm:f>NOT(ISERROR(SEARCH("WEB SERVICE",'TC1'!E14)))</xm:f>
            <x14:dxf>
              <font>
                <color rgb="FF9C0006"/>
              </font>
              <fill>
                <patternFill>
                  <bgColor rgb="FFFFC7CE"/>
                </patternFill>
              </fill>
            </x14:dxf>
          </x14:cfRule>
          <xm:sqref>E34:E43</xm:sqref>
        </x14:conditionalFormatting>
        <x14:conditionalFormatting xmlns:xm="http://schemas.microsoft.com/office/excel/2006/main">
          <x14:cfRule type="containsText" priority="2880" operator="containsText" text="DB" id="{34D5D391-E95E-41B0-81C6-E4D8F0014923}">
            <xm:f>NOT(ISERROR(SEARCH("DB",'TC1'!#REF!)))</xm:f>
            <x14:dxf>
              <font>
                <color rgb="FF006100"/>
              </font>
              <fill>
                <patternFill>
                  <bgColor rgb="FFC6EFCE"/>
                </patternFill>
              </fill>
            </x14:dxf>
          </x14:cfRule>
          <x14:cfRule type="containsText" priority="2881" operator="containsText" text="WEB SERVICE" id="{D21DA779-0858-4343-9FAF-CCC7B5C4BD49}">
            <xm:f>NOT(ISERROR(SEARCH("WEB SERVICE",'TC1'!#REF!)))</xm:f>
            <x14:dxf>
              <font>
                <color rgb="FF9C0006"/>
              </font>
              <fill>
                <patternFill>
                  <bgColor rgb="FFFFC7CE"/>
                </patternFill>
              </fill>
            </x14:dxf>
          </x14:cfRule>
          <xm:sqref>E13:E33</xm:sqref>
        </x14:conditionalFormatting>
        <x14:conditionalFormatting xmlns:xm="http://schemas.microsoft.com/office/excel/2006/main">
          <x14:cfRule type="expression" priority="4398" id="{A6D59E06-744D-4524-8D94-26D482F9F0E3}">
            <xm:f>'TC1'!$B10="HANGUP"</xm:f>
            <x14:dxf>
              <font>
                <b/>
                <i val="0"/>
              </font>
            </x14:dxf>
          </x14:cfRule>
          <x14:cfRule type="expression" priority="4399" id="{5EFBFA74-F2BC-4C1E-84E1-ABD1EEC35C3E}">
            <xm:f>'TC1'!$B10="Dial"</xm:f>
            <x14:dxf>
              <font>
                <b/>
                <i val="0"/>
                <color rgb="FFFF0000"/>
              </font>
            </x14:dxf>
          </x14:cfRule>
          <xm:sqref>C9:C12</xm:sqref>
        </x14:conditionalFormatting>
        <x14:conditionalFormatting xmlns:xm="http://schemas.microsoft.com/office/excel/2006/main">
          <x14:cfRule type="expression" priority="4401" id="{CBDC9051-9D51-476B-8772-6E75FC568577}">
            <xm:f>'TC1'!$B10="Speak"</xm:f>
            <x14:dxf>
              <font>
                <b/>
                <i val="0"/>
                <color rgb="FFFF0000"/>
              </font>
            </x14:dxf>
          </x14:cfRule>
          <xm:sqref>C9:C12</xm:sqref>
        </x14:conditionalFormatting>
        <x14:conditionalFormatting xmlns:xm="http://schemas.microsoft.com/office/excel/2006/main">
          <x14:cfRule type="containsText" priority="6228" operator="containsText" text="Hear" id="{9E47425B-531D-4AB3-8D64-E56FC6E1EDBB}">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sheetPr codeName="Sheet133"/>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TC131</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VLOOKUP(Table257519913140106110151155170[[#This Row],[PEG]],Table1016[#All],2,FALSE)</f>
        <v>#N/A</v>
      </c>
      <c r="D9" s="125"/>
      <c r="E9" s="122" t="e">
        <f>VLOOKUP(Table257519913140106110151155170[[#This Row],[PEG]],Table1016[#All],3,FALSE)</f>
        <v>#N/A</v>
      </c>
    </row>
    <row r="10" spans="1:5">
      <c r="A10" s="114">
        <v>3</v>
      </c>
      <c r="B10" s="110" t="s">
        <v>115</v>
      </c>
      <c r="C10" s="105" t="e">
        <f>VLOOKUP(Table257519913140106110151155170[[#This Row],[PEG]],Table1016[#All],2,FALSE)</f>
        <v>#N/A</v>
      </c>
      <c r="D10" s="125"/>
      <c r="E10" s="122" t="e">
        <f>VLOOKUP(Table257519913140106110151155170[[#This Row],[PEG]],Table1016[#All],3,FALSE)</f>
        <v>#N/A</v>
      </c>
    </row>
    <row r="11" spans="1:5">
      <c r="A11" s="114">
        <v>4</v>
      </c>
      <c r="B11" s="110" t="s">
        <v>115</v>
      </c>
      <c r="C11" s="105" t="e">
        <f>VLOOKUP(Table257519913140106110151155170[[#This Row],[PEG]],Table1016[#All],2,FALSE)</f>
        <v>#N/A</v>
      </c>
      <c r="D11" s="125"/>
      <c r="E11" s="122" t="e">
        <f>VLOOKUP(Table257519913140106110151155170[[#This Row],[PEG]],Table1016[#All],3,FALSE)</f>
        <v>#N/A</v>
      </c>
    </row>
    <row r="12" spans="1:5">
      <c r="A12" s="114">
        <v>5</v>
      </c>
      <c r="B12" s="110" t="s">
        <v>114</v>
      </c>
      <c r="C12" s="105" t="e">
        <f>VLOOKUP(Table257519913140106110151155170[[#This Row],[PEG]],Table1016[#All],2,FALSE)</f>
        <v>#N/A</v>
      </c>
      <c r="D12" s="125"/>
      <c r="E12" s="122" t="e">
        <f>VLOOKUP(Table257519913140106110151155170[[#This Row],[PEG]],Table1016[#All],3,FALSE)</f>
        <v>#N/A</v>
      </c>
    </row>
    <row r="13" spans="1:5">
      <c r="A13" s="114">
        <v>6</v>
      </c>
      <c r="B13" s="110" t="s">
        <v>115</v>
      </c>
      <c r="C13" s="105" t="e">
        <f>VLOOKUP(Table257519913140106110151155170[[#This Row],[PEG]],Table1016[#All],2,FALSE)</f>
        <v>#N/A</v>
      </c>
      <c r="D13" s="125"/>
      <c r="E13" s="122" t="e">
        <f>VLOOKUP(Table257519913140106110151155170[[#This Row],[PEG]],Table1016[#All],3,FALSE)</f>
        <v>#N/A</v>
      </c>
    </row>
    <row r="14" spans="1:5">
      <c r="A14" s="114">
        <v>7</v>
      </c>
      <c r="B14" s="110" t="s">
        <v>114</v>
      </c>
      <c r="C14" s="105" t="e">
        <f>VLOOKUP(Table257519913140106110151155170[[#This Row],[PEG]],Table1016[#All],2,FALSE)</f>
        <v>#N/A</v>
      </c>
      <c r="D14" s="125"/>
      <c r="E14" s="122" t="e">
        <f>VLOOKUP(Table257519913140106110151155170[[#This Row],[PEG]],Table1016[#All],3,FALSE)</f>
        <v>#N/A</v>
      </c>
    </row>
    <row r="15" spans="1:5">
      <c r="A15" s="114">
        <v>8</v>
      </c>
      <c r="B15" s="110" t="s">
        <v>115</v>
      </c>
      <c r="C15" s="105" t="e">
        <f>VLOOKUP(Table257519913140106110151155170[[#This Row],[PEG]],Table1016[#All],2,FALSE)</f>
        <v>#N/A</v>
      </c>
      <c r="D15" s="112"/>
      <c r="E15" s="122" t="e">
        <f>VLOOKUP(Table257519913140106110151155170[[#This Row],[PEG]],Table1016[#All],3,FALSE)</f>
        <v>#N/A</v>
      </c>
    </row>
    <row r="16" spans="1:5">
      <c r="A16" s="114">
        <v>9</v>
      </c>
      <c r="B16" s="110" t="s">
        <v>12</v>
      </c>
      <c r="C16" s="105" t="e">
        <f>VLOOKUP(Table257519913140106110151155170[[#This Row],[PEG]],Table1016[#All],2,FALSE)</f>
        <v>#N/A</v>
      </c>
      <c r="D16" s="112"/>
      <c r="E16" s="122" t="e">
        <f>VLOOKUP(Table257519913140106110151155170[[#This Row],[PEG]],Table1016[#All],3,FALSE)</f>
        <v>#N/A</v>
      </c>
    </row>
    <row r="17" spans="1:5">
      <c r="A17" s="114">
        <v>10</v>
      </c>
      <c r="B17" s="110" t="s">
        <v>12</v>
      </c>
      <c r="C17" s="105" t="e">
        <f>VLOOKUP(Table257519913140106110151155170[[#This Row],[PEG]],Table1016[#All],2,FALSE)</f>
        <v>#N/A</v>
      </c>
      <c r="D17" s="113"/>
      <c r="E17" s="122" t="e">
        <f>VLOOKUP(Table257519913140106110151155170[[#This Row],[PEG]],Table1016[#All],3,FALSE)</f>
        <v>#N/A</v>
      </c>
    </row>
    <row r="18" spans="1:5">
      <c r="A18" s="114">
        <v>11</v>
      </c>
      <c r="B18" s="110" t="s">
        <v>115</v>
      </c>
      <c r="C18" s="105" t="e">
        <f>VLOOKUP(Table257519913140106110151155170[[#This Row],[PEG]],Table1016[#All],2,FALSE)</f>
        <v>#N/A</v>
      </c>
      <c r="D18" s="113"/>
      <c r="E18" s="122" t="e">
        <f>VLOOKUP(Table257519913140106110151155170[[#This Row],[PEG]],Table1016[#All],3,FALSE)</f>
        <v>#N/A</v>
      </c>
    </row>
    <row r="19" spans="1:5">
      <c r="A19" s="114">
        <v>12</v>
      </c>
      <c r="B19" s="110" t="s">
        <v>115</v>
      </c>
      <c r="C19" s="105" t="e">
        <f>VLOOKUP(Table257519913140106110151155170[[#This Row],[PEG]],Table1016[#All],2,FALSE)</f>
        <v>#N/A</v>
      </c>
      <c r="D19" s="113"/>
      <c r="E19" s="122" t="e">
        <f>VLOOKUP(Table257519913140106110151155170[[#This Row],[PEG]],Table1016[#All],3,FALSE)</f>
        <v>#N/A</v>
      </c>
    </row>
    <row r="20" spans="1:5">
      <c r="A20" s="114">
        <v>13</v>
      </c>
      <c r="B20" s="110" t="s">
        <v>114</v>
      </c>
      <c r="C20" s="105" t="e">
        <f>VLOOKUP(Table257519913140106110151155170[[#This Row],[PEG]],Table1016[#All],2,FALSE)</f>
        <v>#N/A</v>
      </c>
      <c r="D20" s="113"/>
      <c r="E20" s="122" t="e">
        <f>VLOOKUP(Table257519913140106110151155170[[#This Row],[PEG]],Table1016[#All],3,FALSE)</f>
        <v>#N/A</v>
      </c>
    </row>
    <row r="21" spans="1:5">
      <c r="A21" s="114">
        <v>14</v>
      </c>
      <c r="B21" s="110" t="s">
        <v>12</v>
      </c>
      <c r="C21" s="105" t="e">
        <f>VLOOKUP(Table257519913140106110151155170[[#This Row],[PEG]],Table1016[#All],2,FALSE)</f>
        <v>#N/A</v>
      </c>
      <c r="D21" s="113"/>
      <c r="E21" s="122" t="e">
        <f>VLOOKUP(Table257519913140106110151155170[[#This Row],[PEG]],Table1016[#All],3,FALSE)</f>
        <v>#N/A</v>
      </c>
    </row>
    <row r="22" spans="1:5">
      <c r="A22" s="114">
        <v>15</v>
      </c>
      <c r="B22" s="110" t="s">
        <v>12</v>
      </c>
      <c r="C22" s="105" t="e">
        <f>VLOOKUP(Table257519913140106110151155170[[#This Row],[PEG]],Table1016[#All],2,FALSE)</f>
        <v>#N/A</v>
      </c>
      <c r="D22" s="113"/>
      <c r="E22" s="122" t="e">
        <f>VLOOKUP(Table257519913140106110151155170[[#This Row],[PEG]],Table1016[#All],3,FALSE)</f>
        <v>#N/A</v>
      </c>
    </row>
    <row r="23" spans="1:5">
      <c r="A23" s="114">
        <v>16</v>
      </c>
      <c r="B23" s="110" t="s">
        <v>115</v>
      </c>
      <c r="C23" s="105" t="e">
        <f>VLOOKUP(Table257519913140106110151155170[[#This Row],[PEG]],Table1016[#All],2,FALSE)</f>
        <v>#N/A</v>
      </c>
      <c r="D23" s="113"/>
      <c r="E23" s="122" t="e">
        <f>VLOOKUP(Table257519913140106110151155170[[#This Row],[PEG]],Table1016[#All],3,FALSE)</f>
        <v>#N/A</v>
      </c>
    </row>
    <row r="24" spans="1:5">
      <c r="A24" s="114">
        <v>17</v>
      </c>
      <c r="B24" s="110" t="s">
        <v>114</v>
      </c>
      <c r="C24" s="105" t="e">
        <f>VLOOKUP(Table257519913140106110151155170[[#This Row],[PEG]],Table1016[#All],2,FALSE)</f>
        <v>#N/A</v>
      </c>
      <c r="D24" s="113"/>
      <c r="E24" s="122" t="e">
        <f>VLOOKUP(Table257519913140106110151155170[[#This Row],[PEG]],Table1016[#All],3,FALSE)</f>
        <v>#N/A</v>
      </c>
    </row>
    <row r="25" spans="1:5">
      <c r="A25" s="114">
        <v>18</v>
      </c>
      <c r="B25" s="110" t="s">
        <v>12</v>
      </c>
      <c r="C25" s="105" t="e">
        <f>VLOOKUP(Table257519913140106110151155170[[#This Row],[PEG]],Table1016[#All],2,FALSE)</f>
        <v>#N/A</v>
      </c>
      <c r="D25" s="113"/>
      <c r="E25" s="122" t="e">
        <f>VLOOKUP(Table257519913140106110151155170[[#This Row],[PEG]],Table1016[#All],3,FALSE)</f>
        <v>#N/A</v>
      </c>
    </row>
    <row r="26" spans="1:5">
      <c r="A26" s="114">
        <v>19</v>
      </c>
      <c r="B26" s="110" t="s">
        <v>12</v>
      </c>
      <c r="C26" s="105" t="e">
        <f>VLOOKUP(Table257519913140106110151155170[[#This Row],[PEG]],Table1016[#All],2,FALSE)</f>
        <v>#N/A</v>
      </c>
      <c r="D26" s="113"/>
      <c r="E26" s="122" t="e">
        <f>VLOOKUP(Table257519913140106110151155170[[#This Row],[PEG]],Table1016[#All],3,FALSE)</f>
        <v>#N/A</v>
      </c>
    </row>
    <row r="27" spans="1:5">
      <c r="A27" s="114">
        <v>20</v>
      </c>
      <c r="B27" s="110" t="s">
        <v>115</v>
      </c>
      <c r="C27" s="105" t="e">
        <f>VLOOKUP(Table257519913140106110151155170[[#This Row],[PEG]],Table1016[#All],2,FALSE)</f>
        <v>#N/A</v>
      </c>
      <c r="D27" s="113"/>
      <c r="E27" s="122" t="e">
        <f>VLOOKUP(Table257519913140106110151155170[[#This Row],[PEG]],Table1016[#All],3,FALSE)</f>
        <v>#N/A</v>
      </c>
    </row>
    <row r="28" spans="1:5">
      <c r="A28" s="114">
        <v>21</v>
      </c>
      <c r="B28" s="110" t="s">
        <v>114</v>
      </c>
      <c r="C28" s="105" t="e">
        <f>VLOOKUP(Table257519913140106110151155170[[#This Row],[PEG]],Table1016[#All],2,FALSE)</f>
        <v>#N/A</v>
      </c>
      <c r="D28" s="113"/>
      <c r="E28" s="122" t="e">
        <f>VLOOKUP(Table257519913140106110151155170[[#This Row],[PEG]],Table1016[#All],3,FALSE)</f>
        <v>#N/A</v>
      </c>
    </row>
    <row r="29" spans="1:5">
      <c r="A29" s="114">
        <v>22</v>
      </c>
      <c r="B29" s="110" t="s">
        <v>12</v>
      </c>
      <c r="C29" s="105" t="e">
        <f>VLOOKUP(Table257519913140106110151155170[[#This Row],[PEG]],Table1016[#All],2,FALSE)</f>
        <v>#N/A</v>
      </c>
      <c r="D29" s="113"/>
      <c r="E29" s="122" t="e">
        <f>VLOOKUP(Table257519913140106110151155170[[#This Row],[PEG]],Table1016[#All],3,FALSE)</f>
        <v>#N/A</v>
      </c>
    </row>
    <row r="30" spans="1:5">
      <c r="A30" s="114">
        <v>23</v>
      </c>
      <c r="B30" s="110" t="s">
        <v>12</v>
      </c>
      <c r="C30" s="105" t="e">
        <f>VLOOKUP(Table257519913140106110151155170[[#This Row],[PEG]],Table1016[#All],2,FALSE)</f>
        <v>#N/A</v>
      </c>
      <c r="D30" s="113"/>
      <c r="E30" s="122" t="e">
        <f>VLOOKUP(Table257519913140106110151155170[[#This Row],[PEG]],Table1016[#All],3,FALSE)</f>
        <v>#N/A</v>
      </c>
    </row>
    <row r="31" spans="1:5">
      <c r="A31" s="114">
        <v>24</v>
      </c>
      <c r="B31" s="110" t="s">
        <v>115</v>
      </c>
      <c r="C31" s="105" t="e">
        <f>VLOOKUP(Table257519913140106110151155170[[#This Row],[PEG]],Table1016[#All],2,FALSE)</f>
        <v>#N/A</v>
      </c>
      <c r="D31" s="113"/>
      <c r="E31" s="122" t="e">
        <f>VLOOKUP(Table257519913140106110151155170[[#This Row],[PEG]],Table1016[#All],3,FALSE)</f>
        <v>#N/A</v>
      </c>
    </row>
    <row r="32" spans="1:5">
      <c r="A32" s="114">
        <v>25</v>
      </c>
      <c r="B32" s="110" t="s">
        <v>115</v>
      </c>
      <c r="C32" s="105" t="e">
        <f>VLOOKUP(Table257519913140106110151155170[[#This Row],[PEG]],Table1016[#All],2,FALSE)</f>
        <v>#N/A</v>
      </c>
      <c r="D32" s="113"/>
      <c r="E32" s="122" t="e">
        <f>VLOOKUP(Table257519913140106110151155170[[#This Row],[PEG]],Table1016[#All],3,FALSE)</f>
        <v>#N/A</v>
      </c>
    </row>
    <row r="33" spans="1:5">
      <c r="A33" s="114">
        <v>26</v>
      </c>
      <c r="B33" s="110" t="s">
        <v>124</v>
      </c>
      <c r="C33" s="105" t="e">
        <f>VLOOKUP(Table257519913140106110151155170[[#This Row],[PEG]],Table1016[#All],2,FALSE)</f>
        <v>#N/A</v>
      </c>
      <c r="D33" s="113"/>
      <c r="E33" s="122" t="e">
        <f>VLOOKUP(Table257519913140106110151155170[[#This Row],[PEG]],Table1016[#All],3,FALSE)</f>
        <v>#N/A</v>
      </c>
    </row>
    <row r="34" spans="1:5">
      <c r="A34" s="114">
        <v>27</v>
      </c>
      <c r="B34" s="110" t="s">
        <v>115</v>
      </c>
      <c r="C34" s="105" t="e">
        <f>VLOOKUP(Table257519913140106110151155170[[#This Row],[PEG]],Table1016[#All],2,FALSE)</f>
        <v>#N/A</v>
      </c>
      <c r="D34" s="113"/>
      <c r="E34" s="122" t="e">
        <f>VLOOKUP(Table257519913140106110151155170[[#This Row],[PEG]],Table1016[#All],3,FALSE)</f>
        <v>#N/A</v>
      </c>
    </row>
    <row r="35" spans="1:5">
      <c r="A35" s="114">
        <v>28</v>
      </c>
      <c r="B35" s="110" t="s">
        <v>124</v>
      </c>
      <c r="C35" s="105" t="e">
        <f>VLOOKUP(Table257519913140106110151155170[[#This Row],[PEG]],Table1016[#All],2,FALSE)</f>
        <v>#N/A</v>
      </c>
      <c r="D35" s="113"/>
      <c r="E35" s="122" t="e">
        <f>VLOOKUP(Table257519913140106110151155170[[#This Row],[PEG]],Table1016[#All],3,FALSE)</f>
        <v>#N/A</v>
      </c>
    </row>
    <row r="36" spans="1:5">
      <c r="A36" s="114">
        <v>29</v>
      </c>
      <c r="B36" s="110" t="s">
        <v>115</v>
      </c>
      <c r="C36" s="105" t="e">
        <f>VLOOKUP(Table257519913140106110151155170[[#This Row],[PEG]],Table1016[#All],2,FALSE)</f>
        <v>#N/A</v>
      </c>
      <c r="D36" s="113"/>
      <c r="E36" s="122" t="e">
        <f>VLOOKUP(Table257519913140106110151155170[[#This Row],[PEG]],Table1016[#All],3,FALSE)</f>
        <v>#N/A</v>
      </c>
    </row>
    <row r="37" spans="1:5">
      <c r="A37" s="114">
        <v>30</v>
      </c>
      <c r="B37" s="110" t="s">
        <v>12</v>
      </c>
      <c r="C37" s="105" t="e">
        <f>VLOOKUP(Table257519913140106110151155170[[#This Row],[PEG]],Table1016[#All],2,FALSE)</f>
        <v>#N/A</v>
      </c>
      <c r="D37" s="113"/>
      <c r="E37" s="122" t="e">
        <f>VLOOKUP(Table257519913140106110151155170[[#This Row],[PEG]],Table1016[#All],3,FALSE)</f>
        <v>#N/A</v>
      </c>
    </row>
    <row r="38" spans="1:5">
      <c r="A38" s="114">
        <v>31</v>
      </c>
      <c r="B38" s="110" t="s">
        <v>12</v>
      </c>
      <c r="C38" s="105" t="e">
        <f>VLOOKUP(Table257519913140106110151155170[[#This Row],[PEG]],Table1016[#All],2,FALSE)</f>
        <v>#N/A</v>
      </c>
      <c r="D38" s="113"/>
      <c r="E38" s="122" t="e">
        <f>VLOOKUP(Table257519913140106110151155170[[#This Row],[PEG]],Table1016[#All],3,FALSE)</f>
        <v>#N/A</v>
      </c>
    </row>
    <row r="39" spans="1:5">
      <c r="A39" s="114">
        <v>32</v>
      </c>
      <c r="B39" s="110" t="s">
        <v>12</v>
      </c>
      <c r="C39" s="105" t="e">
        <f>VLOOKUP(Table257519913140106110151155170[[#This Row],[PEG]],Table1016[#All],2,FALSE)</f>
        <v>#N/A</v>
      </c>
      <c r="D39" s="113"/>
      <c r="E39" s="122" t="e">
        <f>VLOOKUP(Table257519913140106110151155170[[#This Row],[PEG]],Table1016[#All],3,FALSE)</f>
        <v>#N/A</v>
      </c>
    </row>
    <row r="40" spans="1:5">
      <c r="A40" s="114">
        <v>33</v>
      </c>
      <c r="B40" s="110" t="s">
        <v>12</v>
      </c>
      <c r="C40" s="105" t="e">
        <f>VLOOKUP(Table257519913140106110151155170[[#This Row],[PEG]],Table1016[#All],2,FALSE)</f>
        <v>#N/A</v>
      </c>
      <c r="D40" s="113"/>
      <c r="E40" s="122" t="e">
        <f>VLOOKUP(Table257519913140106110151155170[[#This Row],[PEG]],Table1016[#All],3,FALSE)</f>
        <v>#N/A</v>
      </c>
    </row>
    <row r="41" spans="1:5">
      <c r="A41" s="114">
        <v>34</v>
      </c>
      <c r="B41" s="110" t="s">
        <v>115</v>
      </c>
      <c r="C41" s="105" t="e">
        <f>VLOOKUP(Table257519913140106110151155170[[#This Row],[PEG]],Table1016[#All],2,FALSE)</f>
        <v>#N/A</v>
      </c>
      <c r="D41" s="113"/>
      <c r="E41" s="122" t="e">
        <f>VLOOKUP(Table257519913140106110151155170[[#This Row],[PEG]],Table1016[#All],3,FALSE)</f>
        <v>#N/A</v>
      </c>
    </row>
    <row r="42" spans="1:5">
      <c r="A42" s="114">
        <v>35</v>
      </c>
      <c r="B42" s="110" t="s">
        <v>12</v>
      </c>
      <c r="C42" s="105" t="e">
        <f>VLOOKUP(Table257519913140106110151155170[[#This Row],[PEG]],Table1016[#All],2,FALSE)</f>
        <v>#N/A</v>
      </c>
      <c r="D42" s="111"/>
      <c r="E42" s="122" t="e">
        <f>VLOOKUP(Table257519913140106110151155170[[#This Row],[PEG]],Table1016[#All],3,FALSE)</f>
        <v>#N/A</v>
      </c>
    </row>
    <row r="43" spans="1:5">
      <c r="A43" s="114">
        <v>36</v>
      </c>
      <c r="B43" s="110" t="s">
        <v>115</v>
      </c>
      <c r="C43" s="105" t="e">
        <f>VLOOKUP(Table257519913140106110151155170[[#This Row],[PEG]],Table1016[#All],2,FALSE)</f>
        <v>#N/A</v>
      </c>
      <c r="D43" s="111"/>
      <c r="E43" s="122" t="e">
        <f>VLOOKUP(Table257519913140106110151155170[[#This Row],[PEG]],Table1016[#All],3,FALSE)</f>
        <v>#N/A</v>
      </c>
    </row>
    <row r="44" spans="1:5">
      <c r="A44" s="114">
        <v>37</v>
      </c>
      <c r="B44" s="110" t="s">
        <v>13</v>
      </c>
      <c r="C44" s="17" t="s">
        <v>13</v>
      </c>
      <c r="D44" s="111"/>
      <c r="E44" s="31"/>
    </row>
  </sheetData>
  <mergeCells count="1">
    <mergeCell ref="A1:B1"/>
  </mergeCells>
  <conditionalFormatting sqref="B8:B18">
    <cfRule type="containsText" dxfId="1960" priority="1" operator="containsText" text="Hear">
      <formula>NOT(ISERROR(SEARCH("Hear",B8)))</formula>
    </cfRule>
  </conditionalFormatting>
  <conditionalFormatting sqref="B30">
    <cfRule type="containsText" dxfId="1959" priority="4" operator="containsText" text="Hear">
      <formula>NOT(ISERROR(SEARCH("Hear",B30)))</formula>
    </cfRule>
  </conditionalFormatting>
  <conditionalFormatting sqref="B43:B44">
    <cfRule type="containsText" dxfId="1958" priority="8" operator="containsText" text="Hear">
      <formula>NOT(ISERROR(SEARCH("Hear",B43)))</formula>
    </cfRule>
  </conditionalFormatting>
  <conditionalFormatting sqref="E44">
    <cfRule type="containsText" dxfId="1957" priority="6" operator="containsText" text="WEB SERVICE">
      <formula>NOT(ISERROR(SEARCH("WEB SERVICE",E44)))</formula>
    </cfRule>
    <cfRule type="containsText" dxfId="1956" priority="7" operator="containsText" text="DB">
      <formula>NOT(ISERROR(SEARCH("DB",E44)))</formula>
    </cfRule>
  </conditionalFormatting>
  <conditionalFormatting sqref="C44">
    <cfRule type="expression" dxfId="1955" priority="9">
      <formula>$B44="HANGUP"</formula>
    </cfRule>
    <cfRule type="expression" dxfId="1954" priority="9">
      <formula>$B44="Dial"</formula>
    </cfRule>
  </conditionalFormatting>
  <conditionalFormatting sqref="C44">
    <cfRule type="expression" dxfId="1953" priority="3">
      <formula>$B44="Speak"</formula>
    </cfRule>
  </conditionalFormatting>
  <conditionalFormatting sqref="B36:B38 B40:B41">
    <cfRule type="containsText" dxfId="1952" priority="10" operator="containsText" text="Hear">
      <formula>NOT(ISERROR(SEARCH("Hear",B36)))</formula>
    </cfRule>
  </conditionalFormatting>
  <conditionalFormatting sqref="B19:B29 B31:B35 B42">
    <cfRule type="containsText" dxfId="1951" priority="5" operator="containsText" text="Hear">
      <formula>NOT(ISERROR(SEARCH("Hear",B19)))</formula>
    </cfRule>
  </conditionalFormatting>
  <hyperlinks>
    <hyperlink ref="A1" location="'Test Case Overview'!A1" display="Return to Test Case Overview" xr:uid="{00000000-0004-0000-83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 id="{15C7E39B-B1B9-4234-B953-BDC038E62D68}">
            <xm:f>'TC1'!$B8="HANGUP"</xm:f>
            <x14:dxf>
              <font>
                <b/>
                <i val="0"/>
              </font>
            </x14:dxf>
          </x14:cfRule>
          <x14:cfRule type="expression" priority="11" id="{CF3F4BB7-9A4D-46FA-A4E7-47CE2A7FB822}">
            <xm:f>'TC1'!$B8="Dial"</xm:f>
            <x14:dxf>
              <font>
                <b/>
                <i val="0"/>
                <color rgb="FFFF0000"/>
              </font>
            </x14:dxf>
          </x14:cfRule>
          <xm:sqref>C8</xm:sqref>
        </x14:conditionalFormatting>
        <x14:conditionalFormatting xmlns:xm="http://schemas.microsoft.com/office/excel/2006/main">
          <x14:cfRule type="expression" priority="12" id="{31EB1E27-A0C3-4258-AF8C-76EBF711D3E9}">
            <xm:f>'TC1'!$B8="Speak"</xm:f>
            <x14:dxf>
              <font>
                <b/>
                <i val="0"/>
                <color rgb="FFFF0000"/>
              </font>
            </x14:dxf>
          </x14:cfRule>
          <xm:sqref>C8</xm:sqref>
        </x14:conditionalFormatting>
        <x14:conditionalFormatting xmlns:xm="http://schemas.microsoft.com/office/excel/2006/main">
          <x14:cfRule type="containsText" priority="13" operator="containsText" text="DB" id="{678702C0-871A-4534-AC6E-32A13E434507}">
            <xm:f>NOT(ISERROR(SEARCH("DB",'TC1'!E10)))</xm:f>
            <x14:dxf>
              <font>
                <color rgb="FF006100"/>
              </font>
              <fill>
                <patternFill>
                  <bgColor rgb="FFC6EFCE"/>
                </patternFill>
              </fill>
            </x14:dxf>
          </x14:cfRule>
          <x14:cfRule type="containsText" priority="13" operator="containsText" text="WEB SERVICE" id="{68626959-F622-4C45-9F90-3FB7E712AD07}">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containsText" priority="15" operator="containsText" text="Hear" id="{C75B2B5C-ED36-4881-8FEB-048897039BBA}">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886" id="{15C7E39B-B1B9-4234-B953-BDC038E62D68}">
            <xm:f>'TC1'!$B14="HANGUP"</xm:f>
            <x14:dxf>
              <font>
                <b/>
                <i val="0"/>
              </font>
            </x14:dxf>
          </x14:cfRule>
          <x14:cfRule type="expression" priority="2887" id="{CF3F4BB7-9A4D-46FA-A4E7-47CE2A7FB822}">
            <xm:f>'TC1'!$B14="Dial"</xm:f>
            <x14:dxf>
              <font>
                <b/>
                <i val="0"/>
                <color rgb="FFFF0000"/>
              </font>
            </x14:dxf>
          </x14:cfRule>
          <xm:sqref>C34:C43</xm:sqref>
        </x14:conditionalFormatting>
        <x14:conditionalFormatting xmlns:xm="http://schemas.microsoft.com/office/excel/2006/main">
          <x14:cfRule type="expression" priority="2888" id="{15C7E39B-B1B9-4234-B953-BDC038E62D68}">
            <xm:f>'TC1'!#REF!="HANGUP"</xm:f>
            <x14:dxf>
              <font>
                <b/>
                <i val="0"/>
              </font>
            </x14:dxf>
          </x14:cfRule>
          <x14:cfRule type="expression" priority="2889" id="{CF3F4BB7-9A4D-46FA-A4E7-47CE2A7FB822}">
            <xm:f>'TC1'!#REF!="Dial"</xm:f>
            <x14:dxf>
              <font>
                <b/>
                <i val="0"/>
                <color rgb="FFFF0000"/>
              </font>
            </x14:dxf>
          </x14:cfRule>
          <xm:sqref>C13:C33</xm:sqref>
        </x14:conditionalFormatting>
        <x14:conditionalFormatting xmlns:xm="http://schemas.microsoft.com/office/excel/2006/main">
          <x14:cfRule type="expression" priority="2893" id="{31EB1E27-A0C3-4258-AF8C-76EBF711D3E9}">
            <xm:f>'TC1'!$B14="Speak"</xm:f>
            <x14:dxf>
              <font>
                <b/>
                <i val="0"/>
                <color rgb="FFFF0000"/>
              </font>
            </x14:dxf>
          </x14:cfRule>
          <xm:sqref>C34:C43</xm:sqref>
        </x14:conditionalFormatting>
        <x14:conditionalFormatting xmlns:xm="http://schemas.microsoft.com/office/excel/2006/main">
          <x14:cfRule type="expression" priority="2894" id="{31EB1E27-A0C3-4258-AF8C-76EBF711D3E9}">
            <xm:f>'TC1'!#REF!="Speak"</xm:f>
            <x14:dxf>
              <font>
                <b/>
                <i val="0"/>
                <color rgb="FFFF0000"/>
              </font>
            </x14:dxf>
          </x14:cfRule>
          <xm:sqref>C13:C33</xm:sqref>
        </x14:conditionalFormatting>
        <x14:conditionalFormatting xmlns:xm="http://schemas.microsoft.com/office/excel/2006/main">
          <x14:cfRule type="containsText" priority="2898" operator="containsText" text="DB" id="{678702C0-871A-4534-AC6E-32A13E434507}">
            <xm:f>NOT(ISERROR(SEARCH("DB",'TC1'!E14)))</xm:f>
            <x14:dxf>
              <font>
                <color rgb="FF006100"/>
              </font>
              <fill>
                <patternFill>
                  <bgColor rgb="FFC6EFCE"/>
                </patternFill>
              </fill>
            </x14:dxf>
          </x14:cfRule>
          <x14:cfRule type="containsText" priority="2899" operator="containsText" text="WEB SERVICE" id="{68626959-F622-4C45-9F90-3FB7E712AD07}">
            <xm:f>NOT(ISERROR(SEARCH("WEB SERVICE",'TC1'!E14)))</xm:f>
            <x14:dxf>
              <font>
                <color rgb="FF9C0006"/>
              </font>
              <fill>
                <patternFill>
                  <bgColor rgb="FFFFC7CE"/>
                </patternFill>
              </fill>
            </x14:dxf>
          </x14:cfRule>
          <xm:sqref>E34:E43</xm:sqref>
        </x14:conditionalFormatting>
        <x14:conditionalFormatting xmlns:xm="http://schemas.microsoft.com/office/excel/2006/main">
          <x14:cfRule type="containsText" priority="2900" operator="containsText" text="DB" id="{678702C0-871A-4534-AC6E-32A13E434507}">
            <xm:f>NOT(ISERROR(SEARCH("DB",'TC1'!#REF!)))</xm:f>
            <x14:dxf>
              <font>
                <color rgb="FF006100"/>
              </font>
              <fill>
                <patternFill>
                  <bgColor rgb="FFC6EFCE"/>
                </patternFill>
              </fill>
            </x14:dxf>
          </x14:cfRule>
          <x14:cfRule type="containsText" priority="2901" operator="containsText" text="WEB SERVICE" id="{68626959-F622-4C45-9F90-3FB7E712AD07}">
            <xm:f>NOT(ISERROR(SEARCH("WEB SERVICE",'TC1'!#REF!)))</xm:f>
            <x14:dxf>
              <font>
                <color rgb="FF9C0006"/>
              </font>
              <fill>
                <patternFill>
                  <bgColor rgb="FFFFC7CE"/>
                </patternFill>
              </fill>
            </x14:dxf>
          </x14:cfRule>
          <xm:sqref>E13:E33</xm:sqref>
        </x14:conditionalFormatting>
        <x14:conditionalFormatting xmlns:xm="http://schemas.microsoft.com/office/excel/2006/main">
          <x14:cfRule type="expression" priority="4406" id="{15C7E39B-B1B9-4234-B953-BDC038E62D68}">
            <xm:f>'TC1'!$B10="HANGUP"</xm:f>
            <x14:dxf>
              <font>
                <b/>
                <i val="0"/>
              </font>
            </x14:dxf>
          </x14:cfRule>
          <x14:cfRule type="expression" priority="4407" id="{CF3F4BB7-9A4D-46FA-A4E7-47CE2A7FB822}">
            <xm:f>'TC1'!$B10="Dial"</xm:f>
            <x14:dxf>
              <font>
                <b/>
                <i val="0"/>
                <color rgb="FFFF0000"/>
              </font>
            </x14:dxf>
          </x14:cfRule>
          <xm:sqref>C9:C12</xm:sqref>
        </x14:conditionalFormatting>
        <x14:conditionalFormatting xmlns:xm="http://schemas.microsoft.com/office/excel/2006/main">
          <x14:cfRule type="expression" priority="4409" id="{31EB1E27-A0C3-4258-AF8C-76EBF711D3E9}">
            <xm:f>'TC1'!$B10="Speak"</xm:f>
            <x14:dxf>
              <font>
                <b/>
                <i val="0"/>
                <color rgb="FFFF0000"/>
              </font>
            </x14:dxf>
          </x14:cfRule>
          <xm:sqref>C9:C12</xm:sqref>
        </x14:conditionalFormatting>
        <x14:conditionalFormatting xmlns:xm="http://schemas.microsoft.com/office/excel/2006/main">
          <x14:cfRule type="containsText" priority="6243" operator="containsText" text="Hear" id="{34CA1A8C-4DE3-4A18-8A5A-BAB5CE792829}">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sheetPr codeName="Sheet134"/>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TC132</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VLOOKUP(Table257519913140106110151155170172[[#This Row],[PEG]],Table1016[#All],2,FALSE)</f>
        <v>#N/A</v>
      </c>
      <c r="D9" s="125"/>
      <c r="E9" s="122" t="e">
        <f>VLOOKUP(Table257519913140106110151155170172[[#This Row],[PEG]],Table1016[#All],3,FALSE)</f>
        <v>#N/A</v>
      </c>
    </row>
    <row r="10" spans="1:5">
      <c r="A10" s="114">
        <v>3</v>
      </c>
      <c r="B10" s="110" t="s">
        <v>115</v>
      </c>
      <c r="C10" s="105" t="e">
        <f>VLOOKUP(Table257519913140106110151155170172[[#This Row],[PEG]],Table1016[#All],2,FALSE)</f>
        <v>#N/A</v>
      </c>
      <c r="D10" s="125"/>
      <c r="E10" s="122" t="e">
        <f>VLOOKUP(Table257519913140106110151155170172[[#This Row],[PEG]],Table1016[#All],3,FALSE)</f>
        <v>#N/A</v>
      </c>
    </row>
    <row r="11" spans="1:5">
      <c r="A11" s="114">
        <v>4</v>
      </c>
      <c r="B11" s="110" t="s">
        <v>115</v>
      </c>
      <c r="C11" s="105" t="e">
        <f>VLOOKUP(Table257519913140106110151155170172[[#This Row],[PEG]],Table1016[#All],2,FALSE)</f>
        <v>#N/A</v>
      </c>
      <c r="D11" s="125"/>
      <c r="E11" s="122" t="e">
        <f>VLOOKUP(Table257519913140106110151155170172[[#This Row],[PEG]],Table1016[#All],3,FALSE)</f>
        <v>#N/A</v>
      </c>
    </row>
    <row r="12" spans="1:5">
      <c r="A12" s="114">
        <v>5</v>
      </c>
      <c r="B12" s="110" t="s">
        <v>114</v>
      </c>
      <c r="C12" s="105" t="e">
        <f>VLOOKUP(Table257519913140106110151155170172[[#This Row],[PEG]],Table1016[#All],2,FALSE)</f>
        <v>#N/A</v>
      </c>
      <c r="D12" s="125"/>
      <c r="E12" s="122" t="e">
        <f>VLOOKUP(Table257519913140106110151155170172[[#This Row],[PEG]],Table1016[#All],3,FALSE)</f>
        <v>#N/A</v>
      </c>
    </row>
    <row r="13" spans="1:5">
      <c r="A13" s="114">
        <v>6</v>
      </c>
      <c r="B13" s="110" t="s">
        <v>115</v>
      </c>
      <c r="C13" s="105" t="e">
        <f>VLOOKUP(Table257519913140106110151155170172[[#This Row],[PEG]],Table1016[#All],2,FALSE)</f>
        <v>#N/A</v>
      </c>
      <c r="D13" s="125"/>
      <c r="E13" s="122" t="e">
        <f>VLOOKUP(Table257519913140106110151155170172[[#This Row],[PEG]],Table1016[#All],3,FALSE)</f>
        <v>#N/A</v>
      </c>
    </row>
    <row r="14" spans="1:5">
      <c r="A14" s="114">
        <v>7</v>
      </c>
      <c r="B14" s="110" t="s">
        <v>114</v>
      </c>
      <c r="C14" s="105" t="e">
        <f>VLOOKUP(Table257519913140106110151155170172[[#This Row],[PEG]],Table1016[#All],2,FALSE)</f>
        <v>#N/A</v>
      </c>
      <c r="D14" s="125"/>
      <c r="E14" s="122" t="e">
        <f>VLOOKUP(Table257519913140106110151155170172[[#This Row],[PEG]],Table1016[#All],3,FALSE)</f>
        <v>#N/A</v>
      </c>
    </row>
    <row r="15" spans="1:5">
      <c r="A15" s="114">
        <v>8</v>
      </c>
      <c r="B15" s="110" t="s">
        <v>115</v>
      </c>
      <c r="C15" s="105" t="e">
        <f>VLOOKUP(Table257519913140106110151155170172[[#This Row],[PEG]],Table1016[#All],2,FALSE)</f>
        <v>#N/A</v>
      </c>
      <c r="D15" s="112"/>
      <c r="E15" s="122" t="e">
        <f>VLOOKUP(Table257519913140106110151155170172[[#This Row],[PEG]],Table1016[#All],3,FALSE)</f>
        <v>#N/A</v>
      </c>
    </row>
    <row r="16" spans="1:5">
      <c r="A16" s="114">
        <v>9</v>
      </c>
      <c r="B16" s="110" t="s">
        <v>12</v>
      </c>
      <c r="C16" s="105" t="e">
        <f>VLOOKUP(Table257519913140106110151155170172[[#This Row],[PEG]],Table1016[#All],2,FALSE)</f>
        <v>#N/A</v>
      </c>
      <c r="D16" s="112"/>
      <c r="E16" s="122" t="e">
        <f>VLOOKUP(Table257519913140106110151155170172[[#This Row],[PEG]],Table1016[#All],3,FALSE)</f>
        <v>#N/A</v>
      </c>
    </row>
    <row r="17" spans="1:5">
      <c r="A17" s="114">
        <v>10</v>
      </c>
      <c r="B17" s="110" t="s">
        <v>12</v>
      </c>
      <c r="C17" s="105" t="e">
        <f>VLOOKUP(Table257519913140106110151155170172[[#This Row],[PEG]],Table1016[#All],2,FALSE)</f>
        <v>#N/A</v>
      </c>
      <c r="D17" s="113"/>
      <c r="E17" s="122" t="e">
        <f>VLOOKUP(Table257519913140106110151155170172[[#This Row],[PEG]],Table1016[#All],3,FALSE)</f>
        <v>#N/A</v>
      </c>
    </row>
    <row r="18" spans="1:5">
      <c r="A18" s="114">
        <v>11</v>
      </c>
      <c r="B18" s="110" t="s">
        <v>115</v>
      </c>
      <c r="C18" s="105" t="e">
        <f>VLOOKUP(Table257519913140106110151155170172[[#This Row],[PEG]],Table1016[#All],2,FALSE)</f>
        <v>#N/A</v>
      </c>
      <c r="D18" s="113"/>
      <c r="E18" s="122" t="e">
        <f>VLOOKUP(Table257519913140106110151155170172[[#This Row],[PEG]],Table1016[#All],3,FALSE)</f>
        <v>#N/A</v>
      </c>
    </row>
    <row r="19" spans="1:5">
      <c r="A19" s="114">
        <v>12</v>
      </c>
      <c r="B19" s="110" t="s">
        <v>115</v>
      </c>
      <c r="C19" s="105" t="e">
        <f>VLOOKUP(Table257519913140106110151155170172[[#This Row],[PEG]],Table1016[#All],2,FALSE)</f>
        <v>#N/A</v>
      </c>
      <c r="D19" s="113"/>
      <c r="E19" s="122" t="e">
        <f>VLOOKUP(Table257519913140106110151155170172[[#This Row],[PEG]],Table1016[#All],3,FALSE)</f>
        <v>#N/A</v>
      </c>
    </row>
    <row r="20" spans="1:5">
      <c r="A20" s="114">
        <v>13</v>
      </c>
      <c r="B20" s="110" t="s">
        <v>114</v>
      </c>
      <c r="C20" s="105" t="e">
        <f>VLOOKUP(Table257519913140106110151155170172[[#This Row],[PEG]],Table1016[#All],2,FALSE)</f>
        <v>#N/A</v>
      </c>
      <c r="D20" s="113"/>
      <c r="E20" s="122" t="e">
        <f>VLOOKUP(Table257519913140106110151155170172[[#This Row],[PEG]],Table1016[#All],3,FALSE)</f>
        <v>#N/A</v>
      </c>
    </row>
    <row r="21" spans="1:5">
      <c r="A21" s="114">
        <v>14</v>
      </c>
      <c r="B21" s="110" t="s">
        <v>12</v>
      </c>
      <c r="C21" s="105" t="e">
        <f>VLOOKUP(Table257519913140106110151155170172[[#This Row],[PEG]],Table1016[#All],2,FALSE)</f>
        <v>#N/A</v>
      </c>
      <c r="D21" s="113"/>
      <c r="E21" s="122" t="e">
        <f>VLOOKUP(Table257519913140106110151155170172[[#This Row],[PEG]],Table1016[#All],3,FALSE)</f>
        <v>#N/A</v>
      </c>
    </row>
    <row r="22" spans="1:5">
      <c r="A22" s="114">
        <v>15</v>
      </c>
      <c r="B22" s="110" t="s">
        <v>12</v>
      </c>
      <c r="C22" s="105" t="e">
        <f>VLOOKUP(Table257519913140106110151155170172[[#This Row],[PEG]],Table1016[#All],2,FALSE)</f>
        <v>#N/A</v>
      </c>
      <c r="D22" s="113"/>
      <c r="E22" s="122" t="e">
        <f>VLOOKUP(Table257519913140106110151155170172[[#This Row],[PEG]],Table1016[#All],3,FALSE)</f>
        <v>#N/A</v>
      </c>
    </row>
    <row r="23" spans="1:5">
      <c r="A23" s="114">
        <v>16</v>
      </c>
      <c r="B23" s="110" t="s">
        <v>115</v>
      </c>
      <c r="C23" s="105" t="e">
        <f>VLOOKUP(Table257519913140106110151155170172[[#This Row],[PEG]],Table1016[#All],2,FALSE)</f>
        <v>#N/A</v>
      </c>
      <c r="D23" s="113"/>
      <c r="E23" s="122" t="e">
        <f>VLOOKUP(Table257519913140106110151155170172[[#This Row],[PEG]],Table1016[#All],3,FALSE)</f>
        <v>#N/A</v>
      </c>
    </row>
    <row r="24" spans="1:5">
      <c r="A24" s="114">
        <v>17</v>
      </c>
      <c r="B24" s="110" t="s">
        <v>114</v>
      </c>
      <c r="C24" s="105" t="e">
        <f>VLOOKUP(Table257519913140106110151155170172[[#This Row],[PEG]],Table1016[#All],2,FALSE)</f>
        <v>#N/A</v>
      </c>
      <c r="D24" s="113"/>
      <c r="E24" s="122" t="e">
        <f>VLOOKUP(Table257519913140106110151155170172[[#This Row],[PEG]],Table1016[#All],3,FALSE)</f>
        <v>#N/A</v>
      </c>
    </row>
    <row r="25" spans="1:5">
      <c r="A25" s="114">
        <v>18</v>
      </c>
      <c r="B25" s="110" t="s">
        <v>12</v>
      </c>
      <c r="C25" s="105" t="e">
        <f>VLOOKUP(Table257519913140106110151155170172[[#This Row],[PEG]],Table1016[#All],2,FALSE)</f>
        <v>#N/A</v>
      </c>
      <c r="D25" s="113"/>
      <c r="E25" s="122" t="e">
        <f>VLOOKUP(Table257519913140106110151155170172[[#This Row],[PEG]],Table1016[#All],3,FALSE)</f>
        <v>#N/A</v>
      </c>
    </row>
    <row r="26" spans="1:5">
      <c r="A26" s="114">
        <v>19</v>
      </c>
      <c r="B26" s="110" t="s">
        <v>12</v>
      </c>
      <c r="C26" s="105" t="e">
        <f>VLOOKUP(Table257519913140106110151155170172[[#This Row],[PEG]],Table1016[#All],2,FALSE)</f>
        <v>#N/A</v>
      </c>
      <c r="D26" s="113"/>
      <c r="E26" s="122" t="e">
        <f>VLOOKUP(Table257519913140106110151155170172[[#This Row],[PEG]],Table1016[#All],3,FALSE)</f>
        <v>#N/A</v>
      </c>
    </row>
    <row r="27" spans="1:5">
      <c r="A27" s="114">
        <v>20</v>
      </c>
      <c r="B27" s="110" t="s">
        <v>115</v>
      </c>
      <c r="C27" s="105" t="e">
        <f>VLOOKUP(Table257519913140106110151155170172[[#This Row],[PEG]],Table1016[#All],2,FALSE)</f>
        <v>#N/A</v>
      </c>
      <c r="D27" s="113"/>
      <c r="E27" s="122" t="e">
        <f>VLOOKUP(Table257519913140106110151155170172[[#This Row],[PEG]],Table1016[#All],3,FALSE)</f>
        <v>#N/A</v>
      </c>
    </row>
    <row r="28" spans="1:5">
      <c r="A28" s="114">
        <v>21</v>
      </c>
      <c r="B28" s="110" t="s">
        <v>114</v>
      </c>
      <c r="C28" s="105" t="e">
        <f>VLOOKUP(Table257519913140106110151155170172[[#This Row],[PEG]],Table1016[#All],2,FALSE)</f>
        <v>#N/A</v>
      </c>
      <c r="D28" s="113"/>
      <c r="E28" s="122" t="e">
        <f>VLOOKUP(Table257519913140106110151155170172[[#This Row],[PEG]],Table1016[#All],3,FALSE)</f>
        <v>#N/A</v>
      </c>
    </row>
    <row r="29" spans="1:5">
      <c r="A29" s="114">
        <v>22</v>
      </c>
      <c r="B29" s="110" t="s">
        <v>12</v>
      </c>
      <c r="C29" s="105" t="e">
        <f>VLOOKUP(Table257519913140106110151155170172[[#This Row],[PEG]],Table1016[#All],2,FALSE)</f>
        <v>#N/A</v>
      </c>
      <c r="D29" s="113"/>
      <c r="E29" s="122" t="e">
        <f>VLOOKUP(Table257519913140106110151155170172[[#This Row],[PEG]],Table1016[#All],3,FALSE)</f>
        <v>#N/A</v>
      </c>
    </row>
    <row r="30" spans="1:5">
      <c r="A30" s="114">
        <v>23</v>
      </c>
      <c r="B30" s="110" t="s">
        <v>12</v>
      </c>
      <c r="C30" s="105" t="e">
        <f>VLOOKUP(Table257519913140106110151155170172[[#This Row],[PEG]],Table1016[#All],2,FALSE)</f>
        <v>#N/A</v>
      </c>
      <c r="D30" s="113"/>
      <c r="E30" s="122" t="e">
        <f>VLOOKUP(Table257519913140106110151155170172[[#This Row],[PEG]],Table1016[#All],3,FALSE)</f>
        <v>#N/A</v>
      </c>
    </row>
    <row r="31" spans="1:5">
      <c r="A31" s="114">
        <v>24</v>
      </c>
      <c r="B31" s="110" t="s">
        <v>115</v>
      </c>
      <c r="C31" s="105" t="e">
        <f>VLOOKUP(Table257519913140106110151155170172[[#This Row],[PEG]],Table1016[#All],2,FALSE)</f>
        <v>#N/A</v>
      </c>
      <c r="D31" s="113"/>
      <c r="E31" s="122" t="e">
        <f>VLOOKUP(Table257519913140106110151155170172[[#This Row],[PEG]],Table1016[#All],3,FALSE)</f>
        <v>#N/A</v>
      </c>
    </row>
    <row r="32" spans="1:5">
      <c r="A32" s="114">
        <v>25</v>
      </c>
      <c r="B32" s="110" t="s">
        <v>115</v>
      </c>
      <c r="C32" s="105" t="e">
        <f>VLOOKUP(Table257519913140106110151155170172[[#This Row],[PEG]],Table1016[#All],2,FALSE)</f>
        <v>#N/A</v>
      </c>
      <c r="D32" s="113"/>
      <c r="E32" s="122" t="e">
        <f>VLOOKUP(Table257519913140106110151155170172[[#This Row],[PEG]],Table1016[#All],3,FALSE)</f>
        <v>#N/A</v>
      </c>
    </row>
    <row r="33" spans="1:5">
      <c r="A33" s="114">
        <v>26</v>
      </c>
      <c r="B33" s="110" t="s">
        <v>124</v>
      </c>
      <c r="C33" s="105" t="e">
        <f>VLOOKUP(Table257519913140106110151155170172[[#This Row],[PEG]],Table1016[#All],2,FALSE)</f>
        <v>#N/A</v>
      </c>
      <c r="D33" s="113"/>
      <c r="E33" s="122" t="e">
        <f>VLOOKUP(Table257519913140106110151155170172[[#This Row],[PEG]],Table1016[#All],3,FALSE)</f>
        <v>#N/A</v>
      </c>
    </row>
    <row r="34" spans="1:5">
      <c r="A34" s="114">
        <v>27</v>
      </c>
      <c r="B34" s="110" t="s">
        <v>115</v>
      </c>
      <c r="C34" s="105" t="e">
        <f>VLOOKUP(Table257519913140106110151155170172[[#This Row],[PEG]],Table1016[#All],2,FALSE)</f>
        <v>#N/A</v>
      </c>
      <c r="D34" s="113"/>
      <c r="E34" s="122" t="e">
        <f>VLOOKUP(Table257519913140106110151155170172[[#This Row],[PEG]],Table1016[#All],3,FALSE)</f>
        <v>#N/A</v>
      </c>
    </row>
    <row r="35" spans="1:5">
      <c r="A35" s="114">
        <v>28</v>
      </c>
      <c r="B35" s="110" t="s">
        <v>124</v>
      </c>
      <c r="C35" s="105" t="e">
        <f>VLOOKUP(Table257519913140106110151155170172[[#This Row],[PEG]],Table1016[#All],2,FALSE)</f>
        <v>#N/A</v>
      </c>
      <c r="D35" s="113"/>
      <c r="E35" s="122" t="e">
        <f>VLOOKUP(Table257519913140106110151155170172[[#This Row],[PEG]],Table1016[#All],3,FALSE)</f>
        <v>#N/A</v>
      </c>
    </row>
    <row r="36" spans="1:5">
      <c r="A36" s="114">
        <v>29</v>
      </c>
      <c r="B36" s="110" t="s">
        <v>115</v>
      </c>
      <c r="C36" s="105" t="e">
        <f>VLOOKUP(Table257519913140106110151155170172[[#This Row],[PEG]],Table1016[#All],2,FALSE)</f>
        <v>#N/A</v>
      </c>
      <c r="D36" s="113"/>
      <c r="E36" s="122" t="e">
        <f>VLOOKUP(Table257519913140106110151155170172[[#This Row],[PEG]],Table1016[#All],3,FALSE)</f>
        <v>#N/A</v>
      </c>
    </row>
    <row r="37" spans="1:5">
      <c r="A37" s="114">
        <v>30</v>
      </c>
      <c r="B37" s="110" t="s">
        <v>12</v>
      </c>
      <c r="C37" s="105" t="e">
        <f>VLOOKUP(Table257519913140106110151155170172[[#This Row],[PEG]],Table1016[#All],2,FALSE)</f>
        <v>#N/A</v>
      </c>
      <c r="D37" s="113"/>
      <c r="E37" s="122" t="e">
        <f>VLOOKUP(Table257519913140106110151155170172[[#This Row],[PEG]],Table1016[#All],3,FALSE)</f>
        <v>#N/A</v>
      </c>
    </row>
    <row r="38" spans="1:5">
      <c r="A38" s="114">
        <v>31</v>
      </c>
      <c r="B38" s="110" t="s">
        <v>12</v>
      </c>
      <c r="C38" s="105" t="e">
        <f>VLOOKUP(Table257519913140106110151155170172[[#This Row],[PEG]],Table1016[#All],2,FALSE)</f>
        <v>#N/A</v>
      </c>
      <c r="D38" s="113"/>
      <c r="E38" s="122" t="e">
        <f>VLOOKUP(Table257519913140106110151155170172[[#This Row],[PEG]],Table1016[#All],3,FALSE)</f>
        <v>#N/A</v>
      </c>
    </row>
    <row r="39" spans="1:5">
      <c r="A39" s="114">
        <v>32</v>
      </c>
      <c r="B39" s="110" t="s">
        <v>12</v>
      </c>
      <c r="C39" s="105" t="e">
        <f>VLOOKUP(Table257519913140106110151155170172[[#This Row],[PEG]],Table1016[#All],2,FALSE)</f>
        <v>#N/A</v>
      </c>
      <c r="D39" s="113"/>
      <c r="E39" s="122" t="e">
        <f>VLOOKUP(Table257519913140106110151155170172[[#This Row],[PEG]],Table1016[#All],3,FALSE)</f>
        <v>#N/A</v>
      </c>
    </row>
    <row r="40" spans="1:5">
      <c r="A40" s="114">
        <v>33</v>
      </c>
      <c r="B40" s="110" t="s">
        <v>12</v>
      </c>
      <c r="C40" s="105" t="e">
        <f>VLOOKUP(Table257519913140106110151155170172[[#This Row],[PEG]],Table1016[#All],2,FALSE)</f>
        <v>#N/A</v>
      </c>
      <c r="D40" s="113"/>
      <c r="E40" s="122" t="e">
        <f>VLOOKUP(Table257519913140106110151155170172[[#This Row],[PEG]],Table1016[#All],3,FALSE)</f>
        <v>#N/A</v>
      </c>
    </row>
    <row r="41" spans="1:5">
      <c r="A41" s="114">
        <v>34</v>
      </c>
      <c r="B41" s="110" t="s">
        <v>115</v>
      </c>
      <c r="C41" s="105" t="e">
        <f>VLOOKUP(Table257519913140106110151155170172[[#This Row],[PEG]],Table1016[#All],2,FALSE)</f>
        <v>#N/A</v>
      </c>
      <c r="D41" s="113"/>
      <c r="E41" s="122" t="e">
        <f>VLOOKUP(Table257519913140106110151155170172[[#This Row],[PEG]],Table1016[#All],3,FALSE)</f>
        <v>#N/A</v>
      </c>
    </row>
    <row r="42" spans="1:5">
      <c r="A42" s="114">
        <v>35</v>
      </c>
      <c r="B42" s="110" t="s">
        <v>12</v>
      </c>
      <c r="C42" s="105" t="e">
        <f>VLOOKUP(Table257519913140106110151155170172[[#This Row],[PEG]],Table1016[#All],2,FALSE)</f>
        <v>#N/A</v>
      </c>
      <c r="D42" s="111"/>
      <c r="E42" s="122" t="e">
        <f>VLOOKUP(Table257519913140106110151155170172[[#This Row],[PEG]],Table1016[#All],3,FALSE)</f>
        <v>#N/A</v>
      </c>
    </row>
    <row r="43" spans="1:5">
      <c r="A43" s="114">
        <v>36</v>
      </c>
      <c r="B43" s="110" t="s">
        <v>115</v>
      </c>
      <c r="C43" s="105" t="e">
        <f>VLOOKUP(Table257519913140106110151155170172[[#This Row],[PEG]],Table1016[#All],2,FALSE)</f>
        <v>#N/A</v>
      </c>
      <c r="D43" s="111"/>
      <c r="E43" s="122" t="e">
        <f>VLOOKUP(Table257519913140106110151155170172[[#This Row],[PEG]],Table1016[#All],3,FALSE)</f>
        <v>#N/A</v>
      </c>
    </row>
    <row r="44" spans="1:5">
      <c r="A44" s="114">
        <v>37</v>
      </c>
      <c r="B44" s="110" t="s">
        <v>13</v>
      </c>
      <c r="C44" s="17" t="s">
        <v>13</v>
      </c>
      <c r="D44" s="111"/>
      <c r="E44" s="31"/>
    </row>
  </sheetData>
  <mergeCells count="1">
    <mergeCell ref="A1:B1"/>
  </mergeCells>
  <conditionalFormatting sqref="B8:B18">
    <cfRule type="containsText" dxfId="1921" priority="1" operator="containsText" text="Hear">
      <formula>NOT(ISERROR(SEARCH("Hear",B8)))</formula>
    </cfRule>
  </conditionalFormatting>
  <conditionalFormatting sqref="B30">
    <cfRule type="containsText" dxfId="1920" priority="4" operator="containsText" text="Hear">
      <formula>NOT(ISERROR(SEARCH("Hear",B30)))</formula>
    </cfRule>
  </conditionalFormatting>
  <conditionalFormatting sqref="B43:B44">
    <cfRule type="containsText" dxfId="1919" priority="8" operator="containsText" text="Hear">
      <formula>NOT(ISERROR(SEARCH("Hear",B43)))</formula>
    </cfRule>
  </conditionalFormatting>
  <conditionalFormatting sqref="E44">
    <cfRule type="containsText" dxfId="1918" priority="6" operator="containsText" text="WEB SERVICE">
      <formula>NOT(ISERROR(SEARCH("WEB SERVICE",E44)))</formula>
    </cfRule>
    <cfRule type="containsText" dxfId="1917" priority="7" operator="containsText" text="DB">
      <formula>NOT(ISERROR(SEARCH("DB",E44)))</formula>
    </cfRule>
  </conditionalFormatting>
  <conditionalFormatting sqref="C44">
    <cfRule type="expression" dxfId="1916" priority="9">
      <formula>$B44="Dial"</formula>
    </cfRule>
  </conditionalFormatting>
  <conditionalFormatting sqref="C44">
    <cfRule type="expression" dxfId="1915" priority="3">
      <formula>$B44="Speak"</formula>
    </cfRule>
  </conditionalFormatting>
  <conditionalFormatting sqref="B19:B29 B31:B35 B42">
    <cfRule type="containsText" dxfId="1914" priority="5" operator="containsText" text="Hear">
      <formula>NOT(ISERROR(SEARCH("Hear",B19)))</formula>
    </cfRule>
  </conditionalFormatting>
  <hyperlinks>
    <hyperlink ref="A1" location="'Test Case Overview'!A1" display="Return to Test Case Overview" xr:uid="{00000000-0004-0000-84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1053DEF0-63BC-417D-B0C1-3157C66844E6}">
            <xm:f>'TC1'!$B8="HANGUP"</xm:f>
            <x14:dxf>
              <font>
                <b/>
                <i val="0"/>
              </font>
            </x14:dxf>
          </x14:cfRule>
          <x14:cfRule type="expression" priority="10" id="{08E0A571-7CD1-4ECB-A716-90F1C86DC8CD}">
            <xm:f>'TC1'!$B8="Dial"</xm:f>
            <x14:dxf>
              <font>
                <b/>
                <i val="0"/>
                <color rgb="FFFF0000"/>
              </font>
            </x14:dxf>
          </x14:cfRule>
          <xm:sqref>C8</xm:sqref>
        </x14:conditionalFormatting>
        <x14:conditionalFormatting xmlns:xm="http://schemas.microsoft.com/office/excel/2006/main">
          <x14:cfRule type="expression" priority="11" id="{D2542D2E-1569-4F32-A87C-4C67A9C8FBA2}">
            <xm:f>'TC1'!$B8="Speak"</xm:f>
            <x14:dxf>
              <font>
                <b/>
                <i val="0"/>
                <color rgb="FFFF0000"/>
              </font>
            </x14:dxf>
          </x14:cfRule>
          <xm:sqref>C8</xm:sqref>
        </x14:conditionalFormatting>
        <x14:conditionalFormatting xmlns:xm="http://schemas.microsoft.com/office/excel/2006/main">
          <x14:cfRule type="containsText" priority="12" operator="containsText" text="DB" id="{D9A7DC31-E2A3-4390-9817-B921F6CB37AC}">
            <xm:f>NOT(ISERROR(SEARCH("DB",'TC1'!E10)))</xm:f>
            <x14:dxf>
              <font>
                <color rgb="FF006100"/>
              </font>
              <fill>
                <patternFill>
                  <bgColor rgb="FFC6EFCE"/>
                </patternFill>
              </fill>
            </x14:dxf>
          </x14:cfRule>
          <x14:cfRule type="containsText" priority="12" operator="containsText" text="WEB SERVICE" id="{18AC8123-0892-412A-908C-E03B864D906B}">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containsText" priority="14" operator="containsText" text="Hear" id="{2A2800F2-EB59-44DA-A351-31D064F291E2}">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906" id="{1053DEF0-63BC-417D-B0C1-3157C66844E6}">
            <xm:f>'TC1'!$B14="HANGUP"</xm:f>
            <x14:dxf>
              <font>
                <b/>
                <i val="0"/>
              </font>
            </x14:dxf>
          </x14:cfRule>
          <x14:cfRule type="expression" priority="2907" id="{08E0A571-7CD1-4ECB-A716-90F1C86DC8CD}">
            <xm:f>'TC1'!$B14="Dial"</xm:f>
            <x14:dxf>
              <font>
                <b/>
                <i val="0"/>
                <color rgb="FFFF0000"/>
              </font>
            </x14:dxf>
          </x14:cfRule>
          <xm:sqref>C34:C43</xm:sqref>
        </x14:conditionalFormatting>
        <x14:conditionalFormatting xmlns:xm="http://schemas.microsoft.com/office/excel/2006/main">
          <x14:cfRule type="expression" priority="2908" id="{1053DEF0-63BC-417D-B0C1-3157C66844E6}">
            <xm:f>'TC1'!#REF!="HANGUP"</xm:f>
            <x14:dxf>
              <font>
                <b/>
                <i val="0"/>
              </font>
            </x14:dxf>
          </x14:cfRule>
          <x14:cfRule type="expression" priority="2909" id="{08E0A571-7CD1-4ECB-A716-90F1C86DC8CD}">
            <xm:f>'TC1'!#REF!="Dial"</xm:f>
            <x14:dxf>
              <font>
                <b/>
                <i val="0"/>
                <color rgb="FFFF0000"/>
              </font>
            </x14:dxf>
          </x14:cfRule>
          <xm:sqref>C13:C33</xm:sqref>
        </x14:conditionalFormatting>
        <x14:conditionalFormatting xmlns:xm="http://schemas.microsoft.com/office/excel/2006/main">
          <x14:cfRule type="expression" priority="2913" id="{D2542D2E-1569-4F32-A87C-4C67A9C8FBA2}">
            <xm:f>'TC1'!$B14="Speak"</xm:f>
            <x14:dxf>
              <font>
                <b/>
                <i val="0"/>
                <color rgb="FFFF0000"/>
              </font>
            </x14:dxf>
          </x14:cfRule>
          <xm:sqref>C34:C43</xm:sqref>
        </x14:conditionalFormatting>
        <x14:conditionalFormatting xmlns:xm="http://schemas.microsoft.com/office/excel/2006/main">
          <x14:cfRule type="expression" priority="2914" id="{D2542D2E-1569-4F32-A87C-4C67A9C8FBA2}">
            <xm:f>'TC1'!#REF!="Speak"</xm:f>
            <x14:dxf>
              <font>
                <b/>
                <i val="0"/>
                <color rgb="FFFF0000"/>
              </font>
            </x14:dxf>
          </x14:cfRule>
          <xm:sqref>C13:C33</xm:sqref>
        </x14:conditionalFormatting>
        <x14:conditionalFormatting xmlns:xm="http://schemas.microsoft.com/office/excel/2006/main">
          <x14:cfRule type="containsText" priority="2918" operator="containsText" text="DB" id="{D9A7DC31-E2A3-4390-9817-B921F6CB37AC}">
            <xm:f>NOT(ISERROR(SEARCH("DB",'TC1'!E14)))</xm:f>
            <x14:dxf>
              <font>
                <color rgb="FF006100"/>
              </font>
              <fill>
                <patternFill>
                  <bgColor rgb="FFC6EFCE"/>
                </patternFill>
              </fill>
            </x14:dxf>
          </x14:cfRule>
          <x14:cfRule type="containsText" priority="2919" operator="containsText" text="WEB SERVICE" id="{18AC8123-0892-412A-908C-E03B864D906B}">
            <xm:f>NOT(ISERROR(SEARCH("WEB SERVICE",'TC1'!E14)))</xm:f>
            <x14:dxf>
              <font>
                <color rgb="FF9C0006"/>
              </font>
              <fill>
                <patternFill>
                  <bgColor rgb="FFFFC7CE"/>
                </patternFill>
              </fill>
            </x14:dxf>
          </x14:cfRule>
          <xm:sqref>E34:E43</xm:sqref>
        </x14:conditionalFormatting>
        <x14:conditionalFormatting xmlns:xm="http://schemas.microsoft.com/office/excel/2006/main">
          <x14:cfRule type="containsText" priority="2920" operator="containsText" text="DB" id="{D9A7DC31-E2A3-4390-9817-B921F6CB37AC}">
            <xm:f>NOT(ISERROR(SEARCH("DB",'TC1'!#REF!)))</xm:f>
            <x14:dxf>
              <font>
                <color rgb="FF006100"/>
              </font>
              <fill>
                <patternFill>
                  <bgColor rgb="FFC6EFCE"/>
                </patternFill>
              </fill>
            </x14:dxf>
          </x14:cfRule>
          <x14:cfRule type="containsText" priority="2921" operator="containsText" text="WEB SERVICE" id="{18AC8123-0892-412A-908C-E03B864D906B}">
            <xm:f>NOT(ISERROR(SEARCH("WEB SERVICE",'TC1'!#REF!)))</xm:f>
            <x14:dxf>
              <font>
                <color rgb="FF9C0006"/>
              </font>
              <fill>
                <patternFill>
                  <bgColor rgb="FFFFC7CE"/>
                </patternFill>
              </fill>
            </x14:dxf>
          </x14:cfRule>
          <xm:sqref>E13:E33</xm:sqref>
        </x14:conditionalFormatting>
        <x14:conditionalFormatting xmlns:xm="http://schemas.microsoft.com/office/excel/2006/main">
          <x14:cfRule type="expression" priority="4414" id="{1053DEF0-63BC-417D-B0C1-3157C66844E6}">
            <xm:f>'TC1'!$B10="HANGUP"</xm:f>
            <x14:dxf>
              <font>
                <b/>
                <i val="0"/>
              </font>
            </x14:dxf>
          </x14:cfRule>
          <x14:cfRule type="expression" priority="4415" id="{08E0A571-7CD1-4ECB-A716-90F1C86DC8CD}">
            <xm:f>'TC1'!$B10="Dial"</xm:f>
            <x14:dxf>
              <font>
                <b/>
                <i val="0"/>
                <color rgb="FFFF0000"/>
              </font>
            </x14:dxf>
          </x14:cfRule>
          <xm:sqref>C9:C12</xm:sqref>
        </x14:conditionalFormatting>
        <x14:conditionalFormatting xmlns:xm="http://schemas.microsoft.com/office/excel/2006/main">
          <x14:cfRule type="expression" priority="4417" id="{D2542D2E-1569-4F32-A87C-4C67A9C8FBA2}">
            <xm:f>'TC1'!$B10="Speak"</xm:f>
            <x14:dxf>
              <font>
                <b/>
                <i val="0"/>
                <color rgb="FFFF0000"/>
              </font>
            </x14:dxf>
          </x14:cfRule>
          <xm:sqref>C9:C12</xm:sqref>
        </x14:conditionalFormatting>
        <x14:conditionalFormatting xmlns:xm="http://schemas.microsoft.com/office/excel/2006/main">
          <x14:cfRule type="containsText" priority="6258" operator="containsText" text="Hear" id="{C8667729-3A34-4849-98F2-C7C89D5BB804}">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sheetPr codeName="Sheet135"/>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TC133</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VLOOKUP(Table257519913140106110151155170174[[#This Row],[PEG]],Table1016[#All],2,FALSE)</f>
        <v>#N/A</v>
      </c>
      <c r="D9" s="125"/>
      <c r="E9" s="122" t="e">
        <f>VLOOKUP(Table257519913140106110151155170174[[#This Row],[PEG]],Table1016[#All],3,FALSE)</f>
        <v>#N/A</v>
      </c>
    </row>
    <row r="10" spans="1:5">
      <c r="A10" s="114">
        <v>3</v>
      </c>
      <c r="B10" s="110" t="s">
        <v>115</v>
      </c>
      <c r="C10" s="105" t="e">
        <f>VLOOKUP(Table257519913140106110151155170174[[#This Row],[PEG]],Table1016[#All],2,FALSE)</f>
        <v>#N/A</v>
      </c>
      <c r="D10" s="125"/>
      <c r="E10" s="122" t="e">
        <f>VLOOKUP(Table257519913140106110151155170174[[#This Row],[PEG]],Table1016[#All],3,FALSE)</f>
        <v>#N/A</v>
      </c>
    </row>
    <row r="11" spans="1:5">
      <c r="A11" s="114">
        <v>4</v>
      </c>
      <c r="B11" s="110" t="s">
        <v>115</v>
      </c>
      <c r="C11" s="105" t="e">
        <f>VLOOKUP(Table257519913140106110151155170174[[#This Row],[PEG]],Table1016[#All],2,FALSE)</f>
        <v>#N/A</v>
      </c>
      <c r="D11" s="125"/>
      <c r="E11" s="122" t="e">
        <f>VLOOKUP(Table257519913140106110151155170174[[#This Row],[PEG]],Table1016[#All],3,FALSE)</f>
        <v>#N/A</v>
      </c>
    </row>
    <row r="12" spans="1:5">
      <c r="A12" s="114">
        <v>5</v>
      </c>
      <c r="B12" s="110" t="s">
        <v>114</v>
      </c>
      <c r="C12" s="105" t="e">
        <f>VLOOKUP(Table257519913140106110151155170174[[#This Row],[PEG]],Table1016[#All],2,FALSE)</f>
        <v>#N/A</v>
      </c>
      <c r="D12" s="125"/>
      <c r="E12" s="122" t="e">
        <f>VLOOKUP(Table257519913140106110151155170174[[#This Row],[PEG]],Table1016[#All],3,FALSE)</f>
        <v>#N/A</v>
      </c>
    </row>
    <row r="13" spans="1:5">
      <c r="A13" s="114">
        <v>6</v>
      </c>
      <c r="B13" s="110" t="s">
        <v>115</v>
      </c>
      <c r="C13" s="105" t="e">
        <f>VLOOKUP(Table257519913140106110151155170174[[#This Row],[PEG]],Table1016[#All],2,FALSE)</f>
        <v>#N/A</v>
      </c>
      <c r="D13" s="125"/>
      <c r="E13" s="122" t="e">
        <f>VLOOKUP(Table257519913140106110151155170174[[#This Row],[PEG]],Table1016[#All],3,FALSE)</f>
        <v>#N/A</v>
      </c>
    </row>
    <row r="14" spans="1:5">
      <c r="A14" s="114">
        <v>7</v>
      </c>
      <c r="B14" s="110" t="s">
        <v>114</v>
      </c>
      <c r="C14" s="105" t="e">
        <f>VLOOKUP(Table257519913140106110151155170174[[#This Row],[PEG]],Table1016[#All],2,FALSE)</f>
        <v>#N/A</v>
      </c>
      <c r="D14" s="125"/>
      <c r="E14" s="122" t="e">
        <f>VLOOKUP(Table257519913140106110151155170174[[#This Row],[PEG]],Table1016[#All],3,FALSE)</f>
        <v>#N/A</v>
      </c>
    </row>
    <row r="15" spans="1:5">
      <c r="A15" s="114">
        <v>8</v>
      </c>
      <c r="B15" s="110" t="s">
        <v>115</v>
      </c>
      <c r="C15" s="105" t="e">
        <f>VLOOKUP(Table257519913140106110151155170174[[#This Row],[PEG]],Table1016[#All],2,FALSE)</f>
        <v>#N/A</v>
      </c>
      <c r="D15" s="112"/>
      <c r="E15" s="122" t="e">
        <f>VLOOKUP(Table257519913140106110151155170174[[#This Row],[PEG]],Table1016[#All],3,FALSE)</f>
        <v>#N/A</v>
      </c>
    </row>
    <row r="16" spans="1:5">
      <c r="A16" s="114">
        <v>9</v>
      </c>
      <c r="B16" s="110" t="s">
        <v>12</v>
      </c>
      <c r="C16" s="105" t="e">
        <f>VLOOKUP(Table257519913140106110151155170174[[#This Row],[PEG]],Table1016[#All],2,FALSE)</f>
        <v>#N/A</v>
      </c>
      <c r="D16" s="112"/>
      <c r="E16" s="122" t="e">
        <f>VLOOKUP(Table257519913140106110151155170174[[#This Row],[PEG]],Table1016[#All],3,FALSE)</f>
        <v>#N/A</v>
      </c>
    </row>
    <row r="17" spans="1:5">
      <c r="A17" s="114">
        <v>10</v>
      </c>
      <c r="B17" s="110" t="s">
        <v>12</v>
      </c>
      <c r="C17" s="105" t="e">
        <f>VLOOKUP(Table257519913140106110151155170174[[#This Row],[PEG]],Table1016[#All],2,FALSE)</f>
        <v>#N/A</v>
      </c>
      <c r="D17" s="113"/>
      <c r="E17" s="122" t="e">
        <f>VLOOKUP(Table257519913140106110151155170174[[#This Row],[PEG]],Table1016[#All],3,FALSE)</f>
        <v>#N/A</v>
      </c>
    </row>
    <row r="18" spans="1:5">
      <c r="A18" s="114">
        <v>11</v>
      </c>
      <c r="B18" s="110" t="s">
        <v>115</v>
      </c>
      <c r="C18" s="105" t="e">
        <f>VLOOKUP(Table257519913140106110151155170174[[#This Row],[PEG]],Table1016[#All],2,FALSE)</f>
        <v>#N/A</v>
      </c>
      <c r="D18" s="113"/>
      <c r="E18" s="122" t="e">
        <f>VLOOKUP(Table257519913140106110151155170174[[#This Row],[PEG]],Table1016[#All],3,FALSE)</f>
        <v>#N/A</v>
      </c>
    </row>
    <row r="19" spans="1:5">
      <c r="A19" s="114">
        <v>12</v>
      </c>
      <c r="B19" s="110" t="s">
        <v>115</v>
      </c>
      <c r="C19" s="105" t="e">
        <f>VLOOKUP(Table257519913140106110151155170174[[#This Row],[PEG]],Table1016[#All],2,FALSE)</f>
        <v>#N/A</v>
      </c>
      <c r="D19" s="113"/>
      <c r="E19" s="122" t="e">
        <f>VLOOKUP(Table257519913140106110151155170174[[#This Row],[PEG]],Table1016[#All],3,FALSE)</f>
        <v>#N/A</v>
      </c>
    </row>
    <row r="20" spans="1:5">
      <c r="A20" s="114">
        <v>13</v>
      </c>
      <c r="B20" s="110" t="s">
        <v>114</v>
      </c>
      <c r="C20" s="105" t="e">
        <f>VLOOKUP(Table257519913140106110151155170174[[#This Row],[PEG]],Table1016[#All],2,FALSE)</f>
        <v>#N/A</v>
      </c>
      <c r="D20" s="113"/>
      <c r="E20" s="122" t="e">
        <f>VLOOKUP(Table257519913140106110151155170174[[#This Row],[PEG]],Table1016[#All],3,FALSE)</f>
        <v>#N/A</v>
      </c>
    </row>
    <row r="21" spans="1:5">
      <c r="A21" s="114">
        <v>14</v>
      </c>
      <c r="B21" s="110" t="s">
        <v>12</v>
      </c>
      <c r="C21" s="105" t="e">
        <f>VLOOKUP(Table257519913140106110151155170174[[#This Row],[PEG]],Table1016[#All],2,FALSE)</f>
        <v>#N/A</v>
      </c>
      <c r="D21" s="113"/>
      <c r="E21" s="122" t="e">
        <f>VLOOKUP(Table257519913140106110151155170174[[#This Row],[PEG]],Table1016[#All],3,FALSE)</f>
        <v>#N/A</v>
      </c>
    </row>
    <row r="22" spans="1:5">
      <c r="A22" s="114">
        <v>15</v>
      </c>
      <c r="B22" s="110" t="s">
        <v>12</v>
      </c>
      <c r="C22" s="105" t="e">
        <f>VLOOKUP(Table257519913140106110151155170174[[#This Row],[PEG]],Table1016[#All],2,FALSE)</f>
        <v>#N/A</v>
      </c>
      <c r="D22" s="113"/>
      <c r="E22" s="122" t="e">
        <f>VLOOKUP(Table257519913140106110151155170174[[#This Row],[PEG]],Table1016[#All],3,FALSE)</f>
        <v>#N/A</v>
      </c>
    </row>
    <row r="23" spans="1:5">
      <c r="A23" s="114">
        <v>16</v>
      </c>
      <c r="B23" s="110" t="s">
        <v>115</v>
      </c>
      <c r="C23" s="105" t="e">
        <f>VLOOKUP(Table257519913140106110151155170174[[#This Row],[PEG]],Table1016[#All],2,FALSE)</f>
        <v>#N/A</v>
      </c>
      <c r="D23" s="113"/>
      <c r="E23" s="122" t="e">
        <f>VLOOKUP(Table257519913140106110151155170174[[#This Row],[PEG]],Table1016[#All],3,FALSE)</f>
        <v>#N/A</v>
      </c>
    </row>
    <row r="24" spans="1:5">
      <c r="A24" s="114">
        <v>17</v>
      </c>
      <c r="B24" s="110" t="s">
        <v>114</v>
      </c>
      <c r="C24" s="105" t="e">
        <f>VLOOKUP(Table257519913140106110151155170174[[#This Row],[PEG]],Table1016[#All],2,FALSE)</f>
        <v>#N/A</v>
      </c>
      <c r="D24" s="113"/>
      <c r="E24" s="122" t="e">
        <f>VLOOKUP(Table257519913140106110151155170174[[#This Row],[PEG]],Table1016[#All],3,FALSE)</f>
        <v>#N/A</v>
      </c>
    </row>
    <row r="25" spans="1:5">
      <c r="A25" s="114">
        <v>18</v>
      </c>
      <c r="B25" s="110" t="s">
        <v>12</v>
      </c>
      <c r="C25" s="105" t="e">
        <f>VLOOKUP(Table257519913140106110151155170174[[#This Row],[PEG]],Table1016[#All],2,FALSE)</f>
        <v>#N/A</v>
      </c>
      <c r="D25" s="113"/>
      <c r="E25" s="122" t="e">
        <f>VLOOKUP(Table257519913140106110151155170174[[#This Row],[PEG]],Table1016[#All],3,FALSE)</f>
        <v>#N/A</v>
      </c>
    </row>
    <row r="26" spans="1:5">
      <c r="A26" s="114">
        <v>19</v>
      </c>
      <c r="B26" s="110" t="s">
        <v>12</v>
      </c>
      <c r="C26" s="105" t="e">
        <f>VLOOKUP(Table257519913140106110151155170174[[#This Row],[PEG]],Table1016[#All],2,FALSE)</f>
        <v>#N/A</v>
      </c>
      <c r="D26" s="113"/>
      <c r="E26" s="122" t="e">
        <f>VLOOKUP(Table257519913140106110151155170174[[#This Row],[PEG]],Table1016[#All],3,FALSE)</f>
        <v>#N/A</v>
      </c>
    </row>
    <row r="27" spans="1:5">
      <c r="A27" s="114">
        <v>20</v>
      </c>
      <c r="B27" s="110" t="s">
        <v>115</v>
      </c>
      <c r="C27" s="105" t="e">
        <f>VLOOKUP(Table257519913140106110151155170174[[#This Row],[PEG]],Table1016[#All],2,FALSE)</f>
        <v>#N/A</v>
      </c>
      <c r="D27" s="113"/>
      <c r="E27" s="122" t="e">
        <f>VLOOKUP(Table257519913140106110151155170174[[#This Row],[PEG]],Table1016[#All],3,FALSE)</f>
        <v>#N/A</v>
      </c>
    </row>
    <row r="28" spans="1:5">
      <c r="A28" s="114">
        <v>21</v>
      </c>
      <c r="B28" s="110" t="s">
        <v>114</v>
      </c>
      <c r="C28" s="105" t="e">
        <f>VLOOKUP(Table257519913140106110151155170174[[#This Row],[PEG]],Table1016[#All],2,FALSE)</f>
        <v>#N/A</v>
      </c>
      <c r="D28" s="113"/>
      <c r="E28" s="122" t="e">
        <f>VLOOKUP(Table257519913140106110151155170174[[#This Row],[PEG]],Table1016[#All],3,FALSE)</f>
        <v>#N/A</v>
      </c>
    </row>
    <row r="29" spans="1:5">
      <c r="A29" s="114">
        <v>22</v>
      </c>
      <c r="B29" s="110" t="s">
        <v>12</v>
      </c>
      <c r="C29" s="105" t="e">
        <f>VLOOKUP(Table257519913140106110151155170174[[#This Row],[PEG]],Table1016[#All],2,FALSE)</f>
        <v>#N/A</v>
      </c>
      <c r="D29" s="113"/>
      <c r="E29" s="122" t="e">
        <f>VLOOKUP(Table257519913140106110151155170174[[#This Row],[PEG]],Table1016[#All],3,FALSE)</f>
        <v>#N/A</v>
      </c>
    </row>
    <row r="30" spans="1:5">
      <c r="A30" s="114">
        <v>23</v>
      </c>
      <c r="B30" s="110" t="s">
        <v>12</v>
      </c>
      <c r="C30" s="105" t="e">
        <f>VLOOKUP(Table257519913140106110151155170174[[#This Row],[PEG]],Table1016[#All],2,FALSE)</f>
        <v>#N/A</v>
      </c>
      <c r="D30" s="113"/>
      <c r="E30" s="122" t="e">
        <f>VLOOKUP(Table257519913140106110151155170174[[#This Row],[PEG]],Table1016[#All],3,FALSE)</f>
        <v>#N/A</v>
      </c>
    </row>
    <row r="31" spans="1:5">
      <c r="A31" s="114">
        <v>24</v>
      </c>
      <c r="B31" s="110" t="s">
        <v>115</v>
      </c>
      <c r="C31" s="105" t="e">
        <f>VLOOKUP(Table257519913140106110151155170174[[#This Row],[PEG]],Table1016[#All],2,FALSE)</f>
        <v>#N/A</v>
      </c>
      <c r="D31" s="113"/>
      <c r="E31" s="122" t="e">
        <f>VLOOKUP(Table257519913140106110151155170174[[#This Row],[PEG]],Table1016[#All],3,FALSE)</f>
        <v>#N/A</v>
      </c>
    </row>
    <row r="32" spans="1:5">
      <c r="A32" s="114">
        <v>25</v>
      </c>
      <c r="B32" s="110" t="s">
        <v>115</v>
      </c>
      <c r="C32" s="105" t="e">
        <f>VLOOKUP(Table257519913140106110151155170174[[#This Row],[PEG]],Table1016[#All],2,FALSE)</f>
        <v>#N/A</v>
      </c>
      <c r="D32" s="113"/>
      <c r="E32" s="122" t="e">
        <f>VLOOKUP(Table257519913140106110151155170174[[#This Row],[PEG]],Table1016[#All],3,FALSE)</f>
        <v>#N/A</v>
      </c>
    </row>
    <row r="33" spans="1:5">
      <c r="A33" s="114">
        <v>26</v>
      </c>
      <c r="B33" s="110" t="s">
        <v>124</v>
      </c>
      <c r="C33" s="105" t="e">
        <f>VLOOKUP(Table257519913140106110151155170174[[#This Row],[PEG]],Table1016[#All],2,FALSE)</f>
        <v>#N/A</v>
      </c>
      <c r="D33" s="113"/>
      <c r="E33" s="122" t="e">
        <f>VLOOKUP(Table257519913140106110151155170174[[#This Row],[PEG]],Table1016[#All],3,FALSE)</f>
        <v>#N/A</v>
      </c>
    </row>
    <row r="34" spans="1:5">
      <c r="A34" s="114">
        <v>27</v>
      </c>
      <c r="B34" s="110" t="s">
        <v>115</v>
      </c>
      <c r="C34" s="105" t="e">
        <f>VLOOKUP(Table257519913140106110151155170174[[#This Row],[PEG]],Table1016[#All],2,FALSE)</f>
        <v>#N/A</v>
      </c>
      <c r="D34" s="113"/>
      <c r="E34" s="122" t="e">
        <f>VLOOKUP(Table257519913140106110151155170174[[#This Row],[PEG]],Table1016[#All],3,FALSE)</f>
        <v>#N/A</v>
      </c>
    </row>
    <row r="35" spans="1:5">
      <c r="A35" s="114">
        <v>28</v>
      </c>
      <c r="B35" s="110" t="s">
        <v>124</v>
      </c>
      <c r="C35" s="105" t="e">
        <f>VLOOKUP(Table257519913140106110151155170174[[#This Row],[PEG]],Table1016[#All],2,FALSE)</f>
        <v>#N/A</v>
      </c>
      <c r="D35" s="113"/>
      <c r="E35" s="122" t="e">
        <f>VLOOKUP(Table257519913140106110151155170174[[#This Row],[PEG]],Table1016[#All],3,FALSE)</f>
        <v>#N/A</v>
      </c>
    </row>
    <row r="36" spans="1:5">
      <c r="A36" s="114">
        <v>29</v>
      </c>
      <c r="B36" s="110" t="s">
        <v>115</v>
      </c>
      <c r="C36" s="105" t="e">
        <f>VLOOKUP(Table257519913140106110151155170174[[#This Row],[PEG]],Table1016[#All],2,FALSE)</f>
        <v>#N/A</v>
      </c>
      <c r="D36" s="113"/>
      <c r="E36" s="122" t="e">
        <f>VLOOKUP(Table257519913140106110151155170174[[#This Row],[PEG]],Table1016[#All],3,FALSE)</f>
        <v>#N/A</v>
      </c>
    </row>
    <row r="37" spans="1:5">
      <c r="A37" s="114">
        <v>30</v>
      </c>
      <c r="B37" s="110" t="s">
        <v>12</v>
      </c>
      <c r="C37" s="105" t="e">
        <f>VLOOKUP(Table257519913140106110151155170174[[#This Row],[PEG]],Table1016[#All],2,FALSE)</f>
        <v>#N/A</v>
      </c>
      <c r="D37" s="113"/>
      <c r="E37" s="122" t="e">
        <f>VLOOKUP(Table257519913140106110151155170174[[#This Row],[PEG]],Table1016[#All],3,FALSE)</f>
        <v>#N/A</v>
      </c>
    </row>
    <row r="38" spans="1:5">
      <c r="A38" s="114">
        <v>31</v>
      </c>
      <c r="B38" s="110" t="s">
        <v>12</v>
      </c>
      <c r="C38" s="105" t="e">
        <f>VLOOKUP(Table257519913140106110151155170174[[#This Row],[PEG]],Table1016[#All],2,FALSE)</f>
        <v>#N/A</v>
      </c>
      <c r="D38" s="113"/>
      <c r="E38" s="122" t="e">
        <f>VLOOKUP(Table257519913140106110151155170174[[#This Row],[PEG]],Table1016[#All],3,FALSE)</f>
        <v>#N/A</v>
      </c>
    </row>
    <row r="39" spans="1:5">
      <c r="A39" s="114">
        <v>32</v>
      </c>
      <c r="B39" s="110" t="s">
        <v>12</v>
      </c>
      <c r="C39" s="105" t="e">
        <f>VLOOKUP(Table257519913140106110151155170174[[#This Row],[PEG]],Table1016[#All],2,FALSE)</f>
        <v>#N/A</v>
      </c>
      <c r="D39" s="113"/>
      <c r="E39" s="122" t="e">
        <f>VLOOKUP(Table257519913140106110151155170174[[#This Row],[PEG]],Table1016[#All],3,FALSE)</f>
        <v>#N/A</v>
      </c>
    </row>
    <row r="40" spans="1:5">
      <c r="A40" s="114">
        <v>33</v>
      </c>
      <c r="B40" s="110" t="s">
        <v>12</v>
      </c>
      <c r="C40" s="105" t="e">
        <f>VLOOKUP(Table257519913140106110151155170174[[#This Row],[PEG]],Table1016[#All],2,FALSE)</f>
        <v>#N/A</v>
      </c>
      <c r="D40" s="113"/>
      <c r="E40" s="122" t="e">
        <f>VLOOKUP(Table257519913140106110151155170174[[#This Row],[PEG]],Table1016[#All],3,FALSE)</f>
        <v>#N/A</v>
      </c>
    </row>
    <row r="41" spans="1:5">
      <c r="A41" s="114">
        <v>34</v>
      </c>
      <c r="B41" s="110" t="s">
        <v>115</v>
      </c>
      <c r="C41" s="105" t="e">
        <f>VLOOKUP(Table257519913140106110151155170174[[#This Row],[PEG]],Table1016[#All],2,FALSE)</f>
        <v>#N/A</v>
      </c>
      <c r="D41" s="113"/>
      <c r="E41" s="122" t="e">
        <f>VLOOKUP(Table257519913140106110151155170174[[#This Row],[PEG]],Table1016[#All],3,FALSE)</f>
        <v>#N/A</v>
      </c>
    </row>
    <row r="42" spans="1:5">
      <c r="A42" s="114">
        <v>35</v>
      </c>
      <c r="B42" s="110" t="s">
        <v>12</v>
      </c>
      <c r="C42" s="105" t="e">
        <f>VLOOKUP(Table257519913140106110151155170174[[#This Row],[PEG]],Table1016[#All],2,FALSE)</f>
        <v>#N/A</v>
      </c>
      <c r="D42" s="111"/>
      <c r="E42" s="122" t="e">
        <f>VLOOKUP(Table257519913140106110151155170174[[#This Row],[PEG]],Table1016[#All],3,FALSE)</f>
        <v>#N/A</v>
      </c>
    </row>
    <row r="43" spans="1:5">
      <c r="A43" s="114">
        <v>36</v>
      </c>
      <c r="B43" s="110" t="s">
        <v>115</v>
      </c>
      <c r="C43" s="105" t="e">
        <f>VLOOKUP(Table257519913140106110151155170174[[#This Row],[PEG]],Table1016[#All],2,FALSE)</f>
        <v>#N/A</v>
      </c>
      <c r="D43" s="111"/>
      <c r="E43" s="122" t="e">
        <f>VLOOKUP(Table257519913140106110151155170174[[#This Row],[PEG]],Table1016[#All],3,FALSE)</f>
        <v>#N/A</v>
      </c>
    </row>
    <row r="44" spans="1:5">
      <c r="A44" s="114">
        <v>37</v>
      </c>
      <c r="B44" s="110" t="s">
        <v>13</v>
      </c>
      <c r="C44" s="17" t="s">
        <v>13</v>
      </c>
      <c r="D44" s="111"/>
      <c r="E44" s="31"/>
    </row>
  </sheetData>
  <mergeCells count="1">
    <mergeCell ref="A1:B1"/>
  </mergeCells>
  <conditionalFormatting sqref="B8:B18">
    <cfRule type="containsText" dxfId="1884" priority="1" operator="containsText" text="Hear">
      <formula>NOT(ISERROR(SEARCH("Hear",B8)))</formula>
    </cfRule>
  </conditionalFormatting>
  <conditionalFormatting sqref="B30">
    <cfRule type="containsText" dxfId="1883" priority="4" operator="containsText" text="Hear">
      <formula>NOT(ISERROR(SEARCH("Hear",B30)))</formula>
    </cfRule>
  </conditionalFormatting>
  <conditionalFormatting sqref="B43:B44">
    <cfRule type="containsText" dxfId="1882" priority="8" operator="containsText" text="Hear">
      <formula>NOT(ISERROR(SEARCH("Hear",B43)))</formula>
    </cfRule>
  </conditionalFormatting>
  <conditionalFormatting sqref="E44">
    <cfRule type="containsText" dxfId="1881" priority="6" operator="containsText" text="WEB SERVICE">
      <formula>NOT(ISERROR(SEARCH("WEB SERVICE",E44)))</formula>
    </cfRule>
    <cfRule type="containsText" dxfId="1880" priority="7" operator="containsText" text="DB">
      <formula>NOT(ISERROR(SEARCH("DB",E44)))</formula>
    </cfRule>
  </conditionalFormatting>
  <conditionalFormatting sqref="C44">
    <cfRule type="expression" dxfId="1879" priority="9">
      <formula>$B44="Dial"</formula>
    </cfRule>
  </conditionalFormatting>
  <conditionalFormatting sqref="C44">
    <cfRule type="expression" dxfId="1878" priority="3">
      <formula>$B44="Speak"</formula>
    </cfRule>
  </conditionalFormatting>
  <conditionalFormatting sqref="B19:B29 B31:B35 B42">
    <cfRule type="containsText" dxfId="1877" priority="5" operator="containsText" text="Hear">
      <formula>NOT(ISERROR(SEARCH("Hear",B19)))</formula>
    </cfRule>
  </conditionalFormatting>
  <hyperlinks>
    <hyperlink ref="A1" location="'Test Case Overview'!A1" display="Return to Test Case Overview" xr:uid="{00000000-0004-0000-85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226B877B-66F7-4A93-A7A3-8D99EE03765D}">
            <xm:f>'TC1'!$B8="HANGUP"</xm:f>
            <x14:dxf>
              <font>
                <b/>
                <i val="0"/>
              </font>
            </x14:dxf>
          </x14:cfRule>
          <x14:cfRule type="expression" priority="10" id="{57386FD4-7681-4651-842E-78E47F09E218}">
            <xm:f>'TC1'!$B8="Dial"</xm:f>
            <x14:dxf>
              <font>
                <b/>
                <i val="0"/>
                <color rgb="FFFF0000"/>
              </font>
            </x14:dxf>
          </x14:cfRule>
          <xm:sqref>C8</xm:sqref>
        </x14:conditionalFormatting>
        <x14:conditionalFormatting xmlns:xm="http://schemas.microsoft.com/office/excel/2006/main">
          <x14:cfRule type="expression" priority="11" id="{FF4B0837-BEB5-45D2-BD60-3E2475A23E8D}">
            <xm:f>'TC1'!$B8="Speak"</xm:f>
            <x14:dxf>
              <font>
                <b/>
                <i val="0"/>
                <color rgb="FFFF0000"/>
              </font>
            </x14:dxf>
          </x14:cfRule>
          <xm:sqref>C8</xm:sqref>
        </x14:conditionalFormatting>
        <x14:conditionalFormatting xmlns:xm="http://schemas.microsoft.com/office/excel/2006/main">
          <x14:cfRule type="containsText" priority="12" operator="containsText" text="DB" id="{D9F4D69A-2934-4765-89CF-FFB60639E7D1}">
            <xm:f>NOT(ISERROR(SEARCH("DB",'TC1'!E10)))</xm:f>
            <x14:dxf>
              <font>
                <color rgb="FF006100"/>
              </font>
              <fill>
                <patternFill>
                  <bgColor rgb="FFC6EFCE"/>
                </patternFill>
              </fill>
            </x14:dxf>
          </x14:cfRule>
          <x14:cfRule type="containsText" priority="12" operator="containsText" text="WEB SERVICE" id="{6E690166-443C-443D-9DA6-A3560B60296C}">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containsText" priority="14" operator="containsText" text="Hear" id="{2284B2DB-872B-42AE-970D-9117EC853173}">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926" id="{226B877B-66F7-4A93-A7A3-8D99EE03765D}">
            <xm:f>'TC1'!$B14="HANGUP"</xm:f>
            <x14:dxf>
              <font>
                <b/>
                <i val="0"/>
              </font>
            </x14:dxf>
          </x14:cfRule>
          <x14:cfRule type="expression" priority="2927" id="{57386FD4-7681-4651-842E-78E47F09E218}">
            <xm:f>'TC1'!$B14="Dial"</xm:f>
            <x14:dxf>
              <font>
                <b/>
                <i val="0"/>
                <color rgb="FFFF0000"/>
              </font>
            </x14:dxf>
          </x14:cfRule>
          <xm:sqref>C34:C43</xm:sqref>
        </x14:conditionalFormatting>
        <x14:conditionalFormatting xmlns:xm="http://schemas.microsoft.com/office/excel/2006/main">
          <x14:cfRule type="expression" priority="2928" id="{226B877B-66F7-4A93-A7A3-8D99EE03765D}">
            <xm:f>'TC1'!#REF!="HANGUP"</xm:f>
            <x14:dxf>
              <font>
                <b/>
                <i val="0"/>
              </font>
            </x14:dxf>
          </x14:cfRule>
          <x14:cfRule type="expression" priority="2929" id="{57386FD4-7681-4651-842E-78E47F09E218}">
            <xm:f>'TC1'!#REF!="Dial"</xm:f>
            <x14:dxf>
              <font>
                <b/>
                <i val="0"/>
                <color rgb="FFFF0000"/>
              </font>
            </x14:dxf>
          </x14:cfRule>
          <xm:sqref>C13:C33</xm:sqref>
        </x14:conditionalFormatting>
        <x14:conditionalFormatting xmlns:xm="http://schemas.microsoft.com/office/excel/2006/main">
          <x14:cfRule type="expression" priority="2933" id="{FF4B0837-BEB5-45D2-BD60-3E2475A23E8D}">
            <xm:f>'TC1'!$B14="Speak"</xm:f>
            <x14:dxf>
              <font>
                <b/>
                <i val="0"/>
                <color rgb="FFFF0000"/>
              </font>
            </x14:dxf>
          </x14:cfRule>
          <xm:sqref>C34:C43</xm:sqref>
        </x14:conditionalFormatting>
        <x14:conditionalFormatting xmlns:xm="http://schemas.microsoft.com/office/excel/2006/main">
          <x14:cfRule type="expression" priority="2934" id="{FF4B0837-BEB5-45D2-BD60-3E2475A23E8D}">
            <xm:f>'TC1'!#REF!="Speak"</xm:f>
            <x14:dxf>
              <font>
                <b/>
                <i val="0"/>
                <color rgb="FFFF0000"/>
              </font>
            </x14:dxf>
          </x14:cfRule>
          <xm:sqref>C13:C33</xm:sqref>
        </x14:conditionalFormatting>
        <x14:conditionalFormatting xmlns:xm="http://schemas.microsoft.com/office/excel/2006/main">
          <x14:cfRule type="containsText" priority="2938" operator="containsText" text="DB" id="{D9F4D69A-2934-4765-89CF-FFB60639E7D1}">
            <xm:f>NOT(ISERROR(SEARCH("DB",'TC1'!E14)))</xm:f>
            <x14:dxf>
              <font>
                <color rgb="FF006100"/>
              </font>
              <fill>
                <patternFill>
                  <bgColor rgb="FFC6EFCE"/>
                </patternFill>
              </fill>
            </x14:dxf>
          </x14:cfRule>
          <x14:cfRule type="containsText" priority="2939" operator="containsText" text="WEB SERVICE" id="{6E690166-443C-443D-9DA6-A3560B60296C}">
            <xm:f>NOT(ISERROR(SEARCH("WEB SERVICE",'TC1'!E14)))</xm:f>
            <x14:dxf>
              <font>
                <color rgb="FF9C0006"/>
              </font>
              <fill>
                <patternFill>
                  <bgColor rgb="FFFFC7CE"/>
                </patternFill>
              </fill>
            </x14:dxf>
          </x14:cfRule>
          <xm:sqref>E34:E43</xm:sqref>
        </x14:conditionalFormatting>
        <x14:conditionalFormatting xmlns:xm="http://schemas.microsoft.com/office/excel/2006/main">
          <x14:cfRule type="containsText" priority="2940" operator="containsText" text="DB" id="{D9F4D69A-2934-4765-89CF-FFB60639E7D1}">
            <xm:f>NOT(ISERROR(SEARCH("DB",'TC1'!#REF!)))</xm:f>
            <x14:dxf>
              <font>
                <color rgb="FF006100"/>
              </font>
              <fill>
                <patternFill>
                  <bgColor rgb="FFC6EFCE"/>
                </patternFill>
              </fill>
            </x14:dxf>
          </x14:cfRule>
          <x14:cfRule type="containsText" priority="2941" operator="containsText" text="WEB SERVICE" id="{6E690166-443C-443D-9DA6-A3560B60296C}">
            <xm:f>NOT(ISERROR(SEARCH("WEB SERVICE",'TC1'!#REF!)))</xm:f>
            <x14:dxf>
              <font>
                <color rgb="FF9C0006"/>
              </font>
              <fill>
                <patternFill>
                  <bgColor rgb="FFFFC7CE"/>
                </patternFill>
              </fill>
            </x14:dxf>
          </x14:cfRule>
          <xm:sqref>E13:E33</xm:sqref>
        </x14:conditionalFormatting>
        <x14:conditionalFormatting xmlns:xm="http://schemas.microsoft.com/office/excel/2006/main">
          <x14:cfRule type="expression" priority="4422" id="{226B877B-66F7-4A93-A7A3-8D99EE03765D}">
            <xm:f>'TC1'!$B10="HANGUP"</xm:f>
            <x14:dxf>
              <font>
                <b/>
                <i val="0"/>
              </font>
            </x14:dxf>
          </x14:cfRule>
          <x14:cfRule type="expression" priority="4423" id="{57386FD4-7681-4651-842E-78E47F09E218}">
            <xm:f>'TC1'!$B10="Dial"</xm:f>
            <x14:dxf>
              <font>
                <b/>
                <i val="0"/>
                <color rgb="FFFF0000"/>
              </font>
            </x14:dxf>
          </x14:cfRule>
          <xm:sqref>C9:C12</xm:sqref>
        </x14:conditionalFormatting>
        <x14:conditionalFormatting xmlns:xm="http://schemas.microsoft.com/office/excel/2006/main">
          <x14:cfRule type="expression" priority="4425" id="{FF4B0837-BEB5-45D2-BD60-3E2475A23E8D}">
            <xm:f>'TC1'!$B10="Speak"</xm:f>
            <x14:dxf>
              <font>
                <b/>
                <i val="0"/>
                <color rgb="FFFF0000"/>
              </font>
            </x14:dxf>
          </x14:cfRule>
          <xm:sqref>C9:C12</xm:sqref>
        </x14:conditionalFormatting>
        <x14:conditionalFormatting xmlns:xm="http://schemas.microsoft.com/office/excel/2006/main">
          <x14:cfRule type="containsText" priority="6273" operator="containsText" text="Hear" id="{F5EEA185-7719-4E3F-B09A-9F84E78CAA4C}">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sheetPr codeName="Sheet136"/>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TC134</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VLOOKUP(Table257519913140106110151155170176[[#This Row],[PEG]],Table1016[#All],2,FALSE)</f>
        <v>#N/A</v>
      </c>
      <c r="D9" s="125"/>
      <c r="E9" s="122" t="e">
        <f>VLOOKUP(Table257519913140106110151155170176[[#This Row],[PEG]],Table1016[#All],3,FALSE)</f>
        <v>#N/A</v>
      </c>
    </row>
    <row r="10" spans="1:5">
      <c r="A10" s="114">
        <v>3</v>
      </c>
      <c r="B10" s="110" t="s">
        <v>115</v>
      </c>
      <c r="C10" s="105" t="e">
        <f>VLOOKUP(Table257519913140106110151155170176[[#This Row],[PEG]],Table1016[#All],2,FALSE)</f>
        <v>#N/A</v>
      </c>
      <c r="D10" s="125"/>
      <c r="E10" s="122" t="e">
        <f>VLOOKUP(Table257519913140106110151155170176[[#This Row],[PEG]],Table1016[#All],3,FALSE)</f>
        <v>#N/A</v>
      </c>
    </row>
    <row r="11" spans="1:5">
      <c r="A11" s="114">
        <v>4</v>
      </c>
      <c r="B11" s="110" t="s">
        <v>115</v>
      </c>
      <c r="C11" s="105" t="e">
        <f>VLOOKUP(Table257519913140106110151155170176[[#This Row],[PEG]],Table1016[#All],2,FALSE)</f>
        <v>#N/A</v>
      </c>
      <c r="D11" s="125"/>
      <c r="E11" s="122" t="e">
        <f>VLOOKUP(Table257519913140106110151155170176[[#This Row],[PEG]],Table1016[#All],3,FALSE)</f>
        <v>#N/A</v>
      </c>
    </row>
    <row r="12" spans="1:5">
      <c r="A12" s="114">
        <v>5</v>
      </c>
      <c r="B12" s="110" t="s">
        <v>114</v>
      </c>
      <c r="C12" s="105" t="e">
        <f>VLOOKUP(Table257519913140106110151155170176[[#This Row],[PEG]],Table1016[#All],2,FALSE)</f>
        <v>#N/A</v>
      </c>
      <c r="D12" s="125"/>
      <c r="E12" s="122" t="e">
        <f>VLOOKUP(Table257519913140106110151155170176[[#This Row],[PEG]],Table1016[#All],3,FALSE)</f>
        <v>#N/A</v>
      </c>
    </row>
    <row r="13" spans="1:5">
      <c r="A13" s="114">
        <v>6</v>
      </c>
      <c r="B13" s="110" t="s">
        <v>115</v>
      </c>
      <c r="C13" s="105" t="e">
        <f>VLOOKUP(Table257519913140106110151155170176[[#This Row],[PEG]],Table1016[#All],2,FALSE)</f>
        <v>#N/A</v>
      </c>
      <c r="D13" s="125"/>
      <c r="E13" s="122" t="e">
        <f>VLOOKUP(Table257519913140106110151155170176[[#This Row],[PEG]],Table1016[#All],3,FALSE)</f>
        <v>#N/A</v>
      </c>
    </row>
    <row r="14" spans="1:5">
      <c r="A14" s="114">
        <v>7</v>
      </c>
      <c r="B14" s="110" t="s">
        <v>114</v>
      </c>
      <c r="C14" s="105" t="e">
        <f>VLOOKUP(Table257519913140106110151155170176[[#This Row],[PEG]],Table1016[#All],2,FALSE)</f>
        <v>#N/A</v>
      </c>
      <c r="D14" s="125"/>
      <c r="E14" s="122" t="e">
        <f>VLOOKUP(Table257519913140106110151155170176[[#This Row],[PEG]],Table1016[#All],3,FALSE)</f>
        <v>#N/A</v>
      </c>
    </row>
    <row r="15" spans="1:5">
      <c r="A15" s="114">
        <v>8</v>
      </c>
      <c r="B15" s="110" t="s">
        <v>115</v>
      </c>
      <c r="C15" s="105" t="e">
        <f>VLOOKUP(Table257519913140106110151155170176[[#This Row],[PEG]],Table1016[#All],2,FALSE)</f>
        <v>#N/A</v>
      </c>
      <c r="D15" s="112"/>
      <c r="E15" s="122" t="e">
        <f>VLOOKUP(Table257519913140106110151155170176[[#This Row],[PEG]],Table1016[#All],3,FALSE)</f>
        <v>#N/A</v>
      </c>
    </row>
    <row r="16" spans="1:5">
      <c r="A16" s="114">
        <v>9</v>
      </c>
      <c r="B16" s="110" t="s">
        <v>12</v>
      </c>
      <c r="C16" s="105" t="e">
        <f>VLOOKUP(Table257519913140106110151155170176[[#This Row],[PEG]],Table1016[#All],2,FALSE)</f>
        <v>#N/A</v>
      </c>
      <c r="D16" s="112"/>
      <c r="E16" s="122" t="e">
        <f>VLOOKUP(Table257519913140106110151155170176[[#This Row],[PEG]],Table1016[#All],3,FALSE)</f>
        <v>#N/A</v>
      </c>
    </row>
    <row r="17" spans="1:5">
      <c r="A17" s="114">
        <v>10</v>
      </c>
      <c r="B17" s="110" t="s">
        <v>12</v>
      </c>
      <c r="C17" s="105" t="e">
        <f>VLOOKUP(Table257519913140106110151155170176[[#This Row],[PEG]],Table1016[#All],2,FALSE)</f>
        <v>#N/A</v>
      </c>
      <c r="D17" s="113"/>
      <c r="E17" s="122" t="e">
        <f>VLOOKUP(Table257519913140106110151155170176[[#This Row],[PEG]],Table1016[#All],3,FALSE)</f>
        <v>#N/A</v>
      </c>
    </row>
    <row r="18" spans="1:5">
      <c r="A18" s="114">
        <v>11</v>
      </c>
      <c r="B18" s="110" t="s">
        <v>115</v>
      </c>
      <c r="C18" s="105" t="e">
        <f>VLOOKUP(Table257519913140106110151155170176[[#This Row],[PEG]],Table1016[#All],2,FALSE)</f>
        <v>#N/A</v>
      </c>
      <c r="D18" s="113"/>
      <c r="E18" s="122" t="e">
        <f>VLOOKUP(Table257519913140106110151155170176[[#This Row],[PEG]],Table1016[#All],3,FALSE)</f>
        <v>#N/A</v>
      </c>
    </row>
    <row r="19" spans="1:5">
      <c r="A19" s="114">
        <v>12</v>
      </c>
      <c r="B19" s="110" t="s">
        <v>115</v>
      </c>
      <c r="C19" s="105" t="e">
        <f>VLOOKUP(Table257519913140106110151155170176[[#This Row],[PEG]],Table1016[#All],2,FALSE)</f>
        <v>#N/A</v>
      </c>
      <c r="D19" s="113"/>
      <c r="E19" s="122" t="e">
        <f>VLOOKUP(Table257519913140106110151155170176[[#This Row],[PEG]],Table1016[#All],3,FALSE)</f>
        <v>#N/A</v>
      </c>
    </row>
    <row r="20" spans="1:5">
      <c r="A20" s="114">
        <v>13</v>
      </c>
      <c r="B20" s="110" t="s">
        <v>114</v>
      </c>
      <c r="C20" s="105" t="e">
        <f>VLOOKUP(Table257519913140106110151155170176[[#This Row],[PEG]],Table1016[#All],2,FALSE)</f>
        <v>#N/A</v>
      </c>
      <c r="D20" s="113"/>
      <c r="E20" s="122" t="e">
        <f>VLOOKUP(Table257519913140106110151155170176[[#This Row],[PEG]],Table1016[#All],3,FALSE)</f>
        <v>#N/A</v>
      </c>
    </row>
    <row r="21" spans="1:5">
      <c r="A21" s="114">
        <v>14</v>
      </c>
      <c r="B21" s="110" t="s">
        <v>12</v>
      </c>
      <c r="C21" s="105" t="e">
        <f>VLOOKUP(Table257519913140106110151155170176[[#This Row],[PEG]],Table1016[#All],2,FALSE)</f>
        <v>#N/A</v>
      </c>
      <c r="D21" s="113"/>
      <c r="E21" s="122" t="e">
        <f>VLOOKUP(Table257519913140106110151155170176[[#This Row],[PEG]],Table1016[#All],3,FALSE)</f>
        <v>#N/A</v>
      </c>
    </row>
    <row r="22" spans="1:5">
      <c r="A22" s="114">
        <v>15</v>
      </c>
      <c r="B22" s="110" t="s">
        <v>12</v>
      </c>
      <c r="C22" s="105" t="e">
        <f>VLOOKUP(Table257519913140106110151155170176[[#This Row],[PEG]],Table1016[#All],2,FALSE)</f>
        <v>#N/A</v>
      </c>
      <c r="D22" s="113"/>
      <c r="E22" s="122" t="e">
        <f>VLOOKUP(Table257519913140106110151155170176[[#This Row],[PEG]],Table1016[#All],3,FALSE)</f>
        <v>#N/A</v>
      </c>
    </row>
    <row r="23" spans="1:5">
      <c r="A23" s="114">
        <v>16</v>
      </c>
      <c r="B23" s="110" t="s">
        <v>115</v>
      </c>
      <c r="C23" s="105" t="e">
        <f>VLOOKUP(Table257519913140106110151155170176[[#This Row],[PEG]],Table1016[#All],2,FALSE)</f>
        <v>#N/A</v>
      </c>
      <c r="D23" s="113"/>
      <c r="E23" s="122" t="e">
        <f>VLOOKUP(Table257519913140106110151155170176[[#This Row],[PEG]],Table1016[#All],3,FALSE)</f>
        <v>#N/A</v>
      </c>
    </row>
    <row r="24" spans="1:5">
      <c r="A24" s="114">
        <v>17</v>
      </c>
      <c r="B24" s="110" t="s">
        <v>114</v>
      </c>
      <c r="C24" s="105" t="e">
        <f>VLOOKUP(Table257519913140106110151155170176[[#This Row],[PEG]],Table1016[#All],2,FALSE)</f>
        <v>#N/A</v>
      </c>
      <c r="D24" s="113"/>
      <c r="E24" s="122" t="e">
        <f>VLOOKUP(Table257519913140106110151155170176[[#This Row],[PEG]],Table1016[#All],3,FALSE)</f>
        <v>#N/A</v>
      </c>
    </row>
    <row r="25" spans="1:5">
      <c r="A25" s="114">
        <v>18</v>
      </c>
      <c r="B25" s="110" t="s">
        <v>12</v>
      </c>
      <c r="C25" s="105" t="e">
        <f>VLOOKUP(Table257519913140106110151155170176[[#This Row],[PEG]],Table1016[#All],2,FALSE)</f>
        <v>#N/A</v>
      </c>
      <c r="D25" s="113"/>
      <c r="E25" s="122" t="e">
        <f>VLOOKUP(Table257519913140106110151155170176[[#This Row],[PEG]],Table1016[#All],3,FALSE)</f>
        <v>#N/A</v>
      </c>
    </row>
    <row r="26" spans="1:5">
      <c r="A26" s="114">
        <v>19</v>
      </c>
      <c r="B26" s="110" t="s">
        <v>12</v>
      </c>
      <c r="C26" s="105" t="e">
        <f>VLOOKUP(Table257519913140106110151155170176[[#This Row],[PEG]],Table1016[#All],2,FALSE)</f>
        <v>#N/A</v>
      </c>
      <c r="D26" s="113"/>
      <c r="E26" s="122" t="e">
        <f>VLOOKUP(Table257519913140106110151155170176[[#This Row],[PEG]],Table1016[#All],3,FALSE)</f>
        <v>#N/A</v>
      </c>
    </row>
    <row r="27" spans="1:5">
      <c r="A27" s="114">
        <v>20</v>
      </c>
      <c r="B27" s="110" t="s">
        <v>115</v>
      </c>
      <c r="C27" s="105" t="e">
        <f>VLOOKUP(Table257519913140106110151155170176[[#This Row],[PEG]],Table1016[#All],2,FALSE)</f>
        <v>#N/A</v>
      </c>
      <c r="D27" s="113"/>
      <c r="E27" s="122" t="e">
        <f>VLOOKUP(Table257519913140106110151155170176[[#This Row],[PEG]],Table1016[#All],3,FALSE)</f>
        <v>#N/A</v>
      </c>
    </row>
    <row r="28" spans="1:5">
      <c r="A28" s="114">
        <v>21</v>
      </c>
      <c r="B28" s="110" t="s">
        <v>114</v>
      </c>
      <c r="C28" s="105" t="e">
        <f>VLOOKUP(Table257519913140106110151155170176[[#This Row],[PEG]],Table1016[#All],2,FALSE)</f>
        <v>#N/A</v>
      </c>
      <c r="D28" s="113"/>
      <c r="E28" s="122" t="e">
        <f>VLOOKUP(Table257519913140106110151155170176[[#This Row],[PEG]],Table1016[#All],3,FALSE)</f>
        <v>#N/A</v>
      </c>
    </row>
    <row r="29" spans="1:5">
      <c r="A29" s="114">
        <v>22</v>
      </c>
      <c r="B29" s="110" t="s">
        <v>12</v>
      </c>
      <c r="C29" s="105" t="e">
        <f>VLOOKUP(Table257519913140106110151155170176[[#This Row],[PEG]],Table1016[#All],2,FALSE)</f>
        <v>#N/A</v>
      </c>
      <c r="D29" s="113"/>
      <c r="E29" s="122" t="e">
        <f>VLOOKUP(Table257519913140106110151155170176[[#This Row],[PEG]],Table1016[#All],3,FALSE)</f>
        <v>#N/A</v>
      </c>
    </row>
    <row r="30" spans="1:5">
      <c r="A30" s="114">
        <v>23</v>
      </c>
      <c r="B30" s="110" t="s">
        <v>12</v>
      </c>
      <c r="C30" s="105" t="e">
        <f>VLOOKUP(Table257519913140106110151155170176[[#This Row],[PEG]],Table1016[#All],2,FALSE)</f>
        <v>#N/A</v>
      </c>
      <c r="D30" s="113"/>
      <c r="E30" s="122" t="e">
        <f>VLOOKUP(Table257519913140106110151155170176[[#This Row],[PEG]],Table1016[#All],3,FALSE)</f>
        <v>#N/A</v>
      </c>
    </row>
    <row r="31" spans="1:5">
      <c r="A31" s="114">
        <v>24</v>
      </c>
      <c r="B31" s="110" t="s">
        <v>115</v>
      </c>
      <c r="C31" s="105" t="e">
        <f>VLOOKUP(Table257519913140106110151155170176[[#This Row],[PEG]],Table1016[#All],2,FALSE)</f>
        <v>#N/A</v>
      </c>
      <c r="D31" s="113"/>
      <c r="E31" s="122" t="e">
        <f>VLOOKUP(Table257519913140106110151155170176[[#This Row],[PEG]],Table1016[#All],3,FALSE)</f>
        <v>#N/A</v>
      </c>
    </row>
    <row r="32" spans="1:5">
      <c r="A32" s="114">
        <v>25</v>
      </c>
      <c r="B32" s="110" t="s">
        <v>115</v>
      </c>
      <c r="C32" s="105" t="e">
        <f>VLOOKUP(Table257519913140106110151155170176[[#This Row],[PEG]],Table1016[#All],2,FALSE)</f>
        <v>#N/A</v>
      </c>
      <c r="D32" s="113"/>
      <c r="E32" s="122" t="e">
        <f>VLOOKUP(Table257519913140106110151155170176[[#This Row],[PEG]],Table1016[#All],3,FALSE)</f>
        <v>#N/A</v>
      </c>
    </row>
    <row r="33" spans="1:5">
      <c r="A33" s="114">
        <v>26</v>
      </c>
      <c r="B33" s="110" t="s">
        <v>124</v>
      </c>
      <c r="C33" s="105" t="e">
        <f>VLOOKUP(Table257519913140106110151155170176[[#This Row],[PEG]],Table1016[#All],2,FALSE)</f>
        <v>#N/A</v>
      </c>
      <c r="D33" s="113"/>
      <c r="E33" s="122" t="e">
        <f>VLOOKUP(Table257519913140106110151155170176[[#This Row],[PEG]],Table1016[#All],3,FALSE)</f>
        <v>#N/A</v>
      </c>
    </row>
    <row r="34" spans="1:5">
      <c r="A34" s="114">
        <v>27</v>
      </c>
      <c r="B34" s="110" t="s">
        <v>115</v>
      </c>
      <c r="C34" s="105" t="e">
        <f>VLOOKUP(Table257519913140106110151155170176[[#This Row],[PEG]],Table1016[#All],2,FALSE)</f>
        <v>#N/A</v>
      </c>
      <c r="D34" s="113"/>
      <c r="E34" s="122" t="e">
        <f>VLOOKUP(Table257519913140106110151155170176[[#This Row],[PEG]],Table1016[#All],3,FALSE)</f>
        <v>#N/A</v>
      </c>
    </row>
    <row r="35" spans="1:5">
      <c r="A35" s="114">
        <v>28</v>
      </c>
      <c r="B35" s="110" t="s">
        <v>124</v>
      </c>
      <c r="C35" s="105" t="e">
        <f>VLOOKUP(Table257519913140106110151155170176[[#This Row],[PEG]],Table1016[#All],2,FALSE)</f>
        <v>#N/A</v>
      </c>
      <c r="D35" s="113"/>
      <c r="E35" s="122" t="e">
        <f>VLOOKUP(Table257519913140106110151155170176[[#This Row],[PEG]],Table1016[#All],3,FALSE)</f>
        <v>#N/A</v>
      </c>
    </row>
    <row r="36" spans="1:5">
      <c r="A36" s="114">
        <v>29</v>
      </c>
      <c r="B36" s="110" t="s">
        <v>115</v>
      </c>
      <c r="C36" s="105" t="e">
        <f>VLOOKUP(Table257519913140106110151155170176[[#This Row],[PEG]],Table1016[#All],2,FALSE)</f>
        <v>#N/A</v>
      </c>
      <c r="D36" s="113"/>
      <c r="E36" s="122" t="e">
        <f>VLOOKUP(Table257519913140106110151155170176[[#This Row],[PEG]],Table1016[#All],3,FALSE)</f>
        <v>#N/A</v>
      </c>
    </row>
    <row r="37" spans="1:5">
      <c r="A37" s="114">
        <v>30</v>
      </c>
      <c r="B37" s="110" t="s">
        <v>12</v>
      </c>
      <c r="C37" s="105" t="e">
        <f>VLOOKUP(Table257519913140106110151155170176[[#This Row],[PEG]],Table1016[#All],2,FALSE)</f>
        <v>#N/A</v>
      </c>
      <c r="D37" s="113"/>
      <c r="E37" s="122" t="e">
        <f>VLOOKUP(Table257519913140106110151155170176[[#This Row],[PEG]],Table1016[#All],3,FALSE)</f>
        <v>#N/A</v>
      </c>
    </row>
    <row r="38" spans="1:5">
      <c r="A38" s="114">
        <v>31</v>
      </c>
      <c r="B38" s="110" t="s">
        <v>12</v>
      </c>
      <c r="C38" s="105" t="e">
        <f>VLOOKUP(Table257519913140106110151155170176[[#This Row],[PEG]],Table1016[#All],2,FALSE)</f>
        <v>#N/A</v>
      </c>
      <c r="D38" s="113"/>
      <c r="E38" s="122" t="e">
        <f>VLOOKUP(Table257519913140106110151155170176[[#This Row],[PEG]],Table1016[#All],3,FALSE)</f>
        <v>#N/A</v>
      </c>
    </row>
    <row r="39" spans="1:5">
      <c r="A39" s="114">
        <v>32</v>
      </c>
      <c r="B39" s="110" t="s">
        <v>12</v>
      </c>
      <c r="C39" s="105" t="e">
        <f>VLOOKUP(Table257519913140106110151155170176[[#This Row],[PEG]],Table1016[#All],2,FALSE)</f>
        <v>#N/A</v>
      </c>
      <c r="D39" s="113"/>
      <c r="E39" s="122" t="e">
        <f>VLOOKUP(Table257519913140106110151155170176[[#This Row],[PEG]],Table1016[#All],3,FALSE)</f>
        <v>#N/A</v>
      </c>
    </row>
    <row r="40" spans="1:5">
      <c r="A40" s="114">
        <v>33</v>
      </c>
      <c r="B40" s="110" t="s">
        <v>12</v>
      </c>
      <c r="C40" s="105" t="e">
        <f>VLOOKUP(Table257519913140106110151155170176[[#This Row],[PEG]],Table1016[#All],2,FALSE)</f>
        <v>#N/A</v>
      </c>
      <c r="D40" s="113"/>
      <c r="E40" s="122" t="e">
        <f>VLOOKUP(Table257519913140106110151155170176[[#This Row],[PEG]],Table1016[#All],3,FALSE)</f>
        <v>#N/A</v>
      </c>
    </row>
    <row r="41" spans="1:5">
      <c r="A41" s="114">
        <v>34</v>
      </c>
      <c r="B41" s="110" t="s">
        <v>115</v>
      </c>
      <c r="C41" s="105" t="e">
        <f>VLOOKUP(Table257519913140106110151155170176[[#This Row],[PEG]],Table1016[#All],2,FALSE)</f>
        <v>#N/A</v>
      </c>
      <c r="D41" s="113"/>
      <c r="E41" s="122" t="e">
        <f>VLOOKUP(Table257519913140106110151155170176[[#This Row],[PEG]],Table1016[#All],3,FALSE)</f>
        <v>#N/A</v>
      </c>
    </row>
    <row r="42" spans="1:5">
      <c r="A42" s="114">
        <v>35</v>
      </c>
      <c r="B42" s="110" t="s">
        <v>12</v>
      </c>
      <c r="C42" s="105" t="e">
        <f>VLOOKUP(Table257519913140106110151155170176[[#This Row],[PEG]],Table1016[#All],2,FALSE)</f>
        <v>#N/A</v>
      </c>
      <c r="D42" s="111"/>
      <c r="E42" s="122" t="e">
        <f>VLOOKUP(Table257519913140106110151155170176[[#This Row],[PEG]],Table1016[#All],3,FALSE)</f>
        <v>#N/A</v>
      </c>
    </row>
    <row r="43" spans="1:5">
      <c r="A43" s="114">
        <v>36</v>
      </c>
      <c r="B43" s="110" t="s">
        <v>115</v>
      </c>
      <c r="C43" s="105" t="e">
        <f>VLOOKUP(Table257519913140106110151155170176[[#This Row],[PEG]],Table1016[#All],2,FALSE)</f>
        <v>#N/A</v>
      </c>
      <c r="D43" s="111"/>
      <c r="E43" s="122" t="e">
        <f>VLOOKUP(Table257519913140106110151155170176[[#This Row],[PEG]],Table1016[#All],3,FALSE)</f>
        <v>#N/A</v>
      </c>
    </row>
    <row r="44" spans="1:5">
      <c r="A44" s="114">
        <v>37</v>
      </c>
      <c r="B44" s="110" t="s">
        <v>13</v>
      </c>
      <c r="C44" s="17" t="s">
        <v>13</v>
      </c>
      <c r="D44" s="111"/>
      <c r="E44" s="31"/>
    </row>
  </sheetData>
  <mergeCells count="1">
    <mergeCell ref="A1:B1"/>
  </mergeCells>
  <conditionalFormatting sqref="B8:B18">
    <cfRule type="containsText" dxfId="1847" priority="1" operator="containsText" text="Hear">
      <formula>NOT(ISERROR(SEARCH("Hear",B8)))</formula>
    </cfRule>
  </conditionalFormatting>
  <conditionalFormatting sqref="B30">
    <cfRule type="containsText" dxfId="1846" priority="4" operator="containsText" text="Hear">
      <formula>NOT(ISERROR(SEARCH("Hear",B30)))</formula>
    </cfRule>
  </conditionalFormatting>
  <conditionalFormatting sqref="B43:B44">
    <cfRule type="containsText" dxfId="1845" priority="8" operator="containsText" text="Hear">
      <formula>NOT(ISERROR(SEARCH("Hear",B43)))</formula>
    </cfRule>
  </conditionalFormatting>
  <conditionalFormatting sqref="E44">
    <cfRule type="containsText" dxfId="1844" priority="6" operator="containsText" text="WEB SERVICE">
      <formula>NOT(ISERROR(SEARCH("WEB SERVICE",E44)))</formula>
    </cfRule>
    <cfRule type="containsText" dxfId="1843" priority="7" operator="containsText" text="DB">
      <formula>NOT(ISERROR(SEARCH("DB",E44)))</formula>
    </cfRule>
  </conditionalFormatting>
  <conditionalFormatting sqref="C44">
    <cfRule type="expression" dxfId="1842" priority="9">
      <formula>$B44="Dial"</formula>
    </cfRule>
  </conditionalFormatting>
  <conditionalFormatting sqref="C44">
    <cfRule type="expression" dxfId="1841" priority="3">
      <formula>$B44="Speak"</formula>
    </cfRule>
  </conditionalFormatting>
  <conditionalFormatting sqref="B19:B29 B31:B35 B42">
    <cfRule type="containsText" dxfId="1840" priority="5" operator="containsText" text="Hear">
      <formula>NOT(ISERROR(SEARCH("Hear",B19)))</formula>
    </cfRule>
  </conditionalFormatting>
  <hyperlinks>
    <hyperlink ref="A1" location="'Test Case Overview'!A1" display="Return to Test Case Overview" xr:uid="{00000000-0004-0000-86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5DE910C8-4A98-4C82-8525-FE1DE6835489}">
            <xm:f>'TC1'!$B8="HANGUP"</xm:f>
            <x14:dxf>
              <font>
                <b/>
                <i val="0"/>
              </font>
            </x14:dxf>
          </x14:cfRule>
          <x14:cfRule type="expression" priority="10" id="{65F572FA-7E3F-49AE-B75C-F76EE35FA118}">
            <xm:f>'TC1'!$B8="Dial"</xm:f>
            <x14:dxf>
              <font>
                <b/>
                <i val="0"/>
                <color rgb="FFFF0000"/>
              </font>
            </x14:dxf>
          </x14:cfRule>
          <xm:sqref>C8</xm:sqref>
        </x14:conditionalFormatting>
        <x14:conditionalFormatting xmlns:xm="http://schemas.microsoft.com/office/excel/2006/main">
          <x14:cfRule type="expression" priority="11" id="{998C6CA6-3600-4D52-815B-DD05D400FE4D}">
            <xm:f>'TC1'!$B8="Speak"</xm:f>
            <x14:dxf>
              <font>
                <b/>
                <i val="0"/>
                <color rgb="FFFF0000"/>
              </font>
            </x14:dxf>
          </x14:cfRule>
          <xm:sqref>C8</xm:sqref>
        </x14:conditionalFormatting>
        <x14:conditionalFormatting xmlns:xm="http://schemas.microsoft.com/office/excel/2006/main">
          <x14:cfRule type="containsText" priority="12" operator="containsText" text="DB" id="{475FAC40-EA11-43A6-8A80-F912ADDEBF61}">
            <xm:f>NOT(ISERROR(SEARCH("DB",'TC1'!E10)))</xm:f>
            <x14:dxf>
              <font>
                <color rgb="FF006100"/>
              </font>
              <fill>
                <patternFill>
                  <bgColor rgb="FFC6EFCE"/>
                </patternFill>
              </fill>
            </x14:dxf>
          </x14:cfRule>
          <x14:cfRule type="containsText" priority="12" operator="containsText" text="WEB SERVICE" id="{9229735E-FE5E-4EFC-9070-AD4E605798E5}">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containsText" priority="14" operator="containsText" text="Hear" id="{1C8D8728-6792-47C5-83AF-9A067C11E059}">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946" id="{5DE910C8-4A98-4C82-8525-FE1DE6835489}">
            <xm:f>'TC1'!$B14="HANGUP"</xm:f>
            <x14:dxf>
              <font>
                <b/>
                <i val="0"/>
              </font>
            </x14:dxf>
          </x14:cfRule>
          <x14:cfRule type="expression" priority="2947" id="{65F572FA-7E3F-49AE-B75C-F76EE35FA118}">
            <xm:f>'TC1'!$B14="Dial"</xm:f>
            <x14:dxf>
              <font>
                <b/>
                <i val="0"/>
                <color rgb="FFFF0000"/>
              </font>
            </x14:dxf>
          </x14:cfRule>
          <xm:sqref>C34:C43</xm:sqref>
        </x14:conditionalFormatting>
        <x14:conditionalFormatting xmlns:xm="http://schemas.microsoft.com/office/excel/2006/main">
          <x14:cfRule type="expression" priority="2948" id="{5DE910C8-4A98-4C82-8525-FE1DE6835489}">
            <xm:f>'TC1'!#REF!="HANGUP"</xm:f>
            <x14:dxf>
              <font>
                <b/>
                <i val="0"/>
              </font>
            </x14:dxf>
          </x14:cfRule>
          <x14:cfRule type="expression" priority="2949" id="{65F572FA-7E3F-49AE-B75C-F76EE35FA118}">
            <xm:f>'TC1'!#REF!="Dial"</xm:f>
            <x14:dxf>
              <font>
                <b/>
                <i val="0"/>
                <color rgb="FFFF0000"/>
              </font>
            </x14:dxf>
          </x14:cfRule>
          <xm:sqref>C13:C33</xm:sqref>
        </x14:conditionalFormatting>
        <x14:conditionalFormatting xmlns:xm="http://schemas.microsoft.com/office/excel/2006/main">
          <x14:cfRule type="expression" priority="2953" id="{998C6CA6-3600-4D52-815B-DD05D400FE4D}">
            <xm:f>'TC1'!$B14="Speak"</xm:f>
            <x14:dxf>
              <font>
                <b/>
                <i val="0"/>
                <color rgb="FFFF0000"/>
              </font>
            </x14:dxf>
          </x14:cfRule>
          <xm:sqref>C34:C43</xm:sqref>
        </x14:conditionalFormatting>
        <x14:conditionalFormatting xmlns:xm="http://schemas.microsoft.com/office/excel/2006/main">
          <x14:cfRule type="expression" priority="2954" id="{998C6CA6-3600-4D52-815B-DD05D400FE4D}">
            <xm:f>'TC1'!#REF!="Speak"</xm:f>
            <x14:dxf>
              <font>
                <b/>
                <i val="0"/>
                <color rgb="FFFF0000"/>
              </font>
            </x14:dxf>
          </x14:cfRule>
          <xm:sqref>C13:C33</xm:sqref>
        </x14:conditionalFormatting>
        <x14:conditionalFormatting xmlns:xm="http://schemas.microsoft.com/office/excel/2006/main">
          <x14:cfRule type="containsText" priority="2958" operator="containsText" text="DB" id="{475FAC40-EA11-43A6-8A80-F912ADDEBF61}">
            <xm:f>NOT(ISERROR(SEARCH("DB",'TC1'!E14)))</xm:f>
            <x14:dxf>
              <font>
                <color rgb="FF006100"/>
              </font>
              <fill>
                <patternFill>
                  <bgColor rgb="FFC6EFCE"/>
                </patternFill>
              </fill>
            </x14:dxf>
          </x14:cfRule>
          <x14:cfRule type="containsText" priority="2959" operator="containsText" text="WEB SERVICE" id="{9229735E-FE5E-4EFC-9070-AD4E605798E5}">
            <xm:f>NOT(ISERROR(SEARCH("WEB SERVICE",'TC1'!E14)))</xm:f>
            <x14:dxf>
              <font>
                <color rgb="FF9C0006"/>
              </font>
              <fill>
                <patternFill>
                  <bgColor rgb="FFFFC7CE"/>
                </patternFill>
              </fill>
            </x14:dxf>
          </x14:cfRule>
          <xm:sqref>E34:E43</xm:sqref>
        </x14:conditionalFormatting>
        <x14:conditionalFormatting xmlns:xm="http://schemas.microsoft.com/office/excel/2006/main">
          <x14:cfRule type="containsText" priority="2960" operator="containsText" text="DB" id="{475FAC40-EA11-43A6-8A80-F912ADDEBF61}">
            <xm:f>NOT(ISERROR(SEARCH("DB",'TC1'!#REF!)))</xm:f>
            <x14:dxf>
              <font>
                <color rgb="FF006100"/>
              </font>
              <fill>
                <patternFill>
                  <bgColor rgb="FFC6EFCE"/>
                </patternFill>
              </fill>
            </x14:dxf>
          </x14:cfRule>
          <x14:cfRule type="containsText" priority="2961" operator="containsText" text="WEB SERVICE" id="{9229735E-FE5E-4EFC-9070-AD4E605798E5}">
            <xm:f>NOT(ISERROR(SEARCH("WEB SERVICE",'TC1'!#REF!)))</xm:f>
            <x14:dxf>
              <font>
                <color rgb="FF9C0006"/>
              </font>
              <fill>
                <patternFill>
                  <bgColor rgb="FFFFC7CE"/>
                </patternFill>
              </fill>
            </x14:dxf>
          </x14:cfRule>
          <xm:sqref>E13:E33</xm:sqref>
        </x14:conditionalFormatting>
        <x14:conditionalFormatting xmlns:xm="http://schemas.microsoft.com/office/excel/2006/main">
          <x14:cfRule type="expression" priority="4430" id="{5DE910C8-4A98-4C82-8525-FE1DE6835489}">
            <xm:f>'TC1'!$B10="HANGUP"</xm:f>
            <x14:dxf>
              <font>
                <b/>
                <i val="0"/>
              </font>
            </x14:dxf>
          </x14:cfRule>
          <x14:cfRule type="expression" priority="4431" id="{65F572FA-7E3F-49AE-B75C-F76EE35FA118}">
            <xm:f>'TC1'!$B10="Dial"</xm:f>
            <x14:dxf>
              <font>
                <b/>
                <i val="0"/>
                <color rgb="FFFF0000"/>
              </font>
            </x14:dxf>
          </x14:cfRule>
          <xm:sqref>C9:C12</xm:sqref>
        </x14:conditionalFormatting>
        <x14:conditionalFormatting xmlns:xm="http://schemas.microsoft.com/office/excel/2006/main">
          <x14:cfRule type="expression" priority="4433" id="{998C6CA6-3600-4D52-815B-DD05D400FE4D}">
            <xm:f>'TC1'!$B10="Speak"</xm:f>
            <x14:dxf>
              <font>
                <b/>
                <i val="0"/>
                <color rgb="FFFF0000"/>
              </font>
            </x14:dxf>
          </x14:cfRule>
          <xm:sqref>C9:C12</xm:sqref>
        </x14:conditionalFormatting>
        <x14:conditionalFormatting xmlns:xm="http://schemas.microsoft.com/office/excel/2006/main">
          <x14:cfRule type="containsText" priority="6288" operator="containsText" text="Hear" id="{2E290837-9B8B-4657-BBD3-241AF71C6119}">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sheetPr codeName="Sheet137"/>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TC135</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VLOOKUP(Table257519913140106110151155170178[[#This Row],[PEG]],Table1016[#All],2,FALSE)</f>
        <v>#N/A</v>
      </c>
      <c r="D9" s="125"/>
      <c r="E9" s="122" t="e">
        <f>VLOOKUP(Table257519913140106110151155170178[[#This Row],[PEG]],Table1016[#All],3,FALSE)</f>
        <v>#N/A</v>
      </c>
    </row>
    <row r="10" spans="1:5">
      <c r="A10" s="114">
        <v>3</v>
      </c>
      <c r="B10" s="110" t="s">
        <v>115</v>
      </c>
      <c r="C10" s="105" t="e">
        <f>VLOOKUP(Table257519913140106110151155170178[[#This Row],[PEG]],Table1016[#All],2,FALSE)</f>
        <v>#N/A</v>
      </c>
      <c r="D10" s="125"/>
      <c r="E10" s="122" t="e">
        <f>VLOOKUP(Table257519913140106110151155170178[[#This Row],[PEG]],Table1016[#All],3,FALSE)</f>
        <v>#N/A</v>
      </c>
    </row>
    <row r="11" spans="1:5">
      <c r="A11" s="114">
        <v>4</v>
      </c>
      <c r="B11" s="110" t="s">
        <v>115</v>
      </c>
      <c r="C11" s="105" t="e">
        <f>VLOOKUP(Table257519913140106110151155170178[[#This Row],[PEG]],Table1016[#All],2,FALSE)</f>
        <v>#N/A</v>
      </c>
      <c r="D11" s="125"/>
      <c r="E11" s="122" t="e">
        <f>VLOOKUP(Table257519913140106110151155170178[[#This Row],[PEG]],Table1016[#All],3,FALSE)</f>
        <v>#N/A</v>
      </c>
    </row>
    <row r="12" spans="1:5">
      <c r="A12" s="114">
        <v>5</v>
      </c>
      <c r="B12" s="110" t="s">
        <v>114</v>
      </c>
      <c r="C12" s="105" t="e">
        <f>VLOOKUP(Table257519913140106110151155170178[[#This Row],[PEG]],Table1016[#All],2,FALSE)</f>
        <v>#N/A</v>
      </c>
      <c r="D12" s="125"/>
      <c r="E12" s="122" t="e">
        <f>VLOOKUP(Table257519913140106110151155170178[[#This Row],[PEG]],Table1016[#All],3,FALSE)</f>
        <v>#N/A</v>
      </c>
    </row>
    <row r="13" spans="1:5">
      <c r="A13" s="114">
        <v>6</v>
      </c>
      <c r="B13" s="110" t="s">
        <v>115</v>
      </c>
      <c r="C13" s="105" t="e">
        <f>VLOOKUP(Table257519913140106110151155170178[[#This Row],[PEG]],Table1016[#All],2,FALSE)</f>
        <v>#N/A</v>
      </c>
      <c r="D13" s="125"/>
      <c r="E13" s="122" t="e">
        <f>VLOOKUP(Table257519913140106110151155170178[[#This Row],[PEG]],Table1016[#All],3,FALSE)</f>
        <v>#N/A</v>
      </c>
    </row>
    <row r="14" spans="1:5">
      <c r="A14" s="114">
        <v>7</v>
      </c>
      <c r="B14" s="110" t="s">
        <v>114</v>
      </c>
      <c r="C14" s="105" t="e">
        <f>VLOOKUP(Table257519913140106110151155170178[[#This Row],[PEG]],Table1016[#All],2,FALSE)</f>
        <v>#N/A</v>
      </c>
      <c r="D14" s="125"/>
      <c r="E14" s="122" t="e">
        <f>VLOOKUP(Table257519913140106110151155170178[[#This Row],[PEG]],Table1016[#All],3,FALSE)</f>
        <v>#N/A</v>
      </c>
    </row>
    <row r="15" spans="1:5">
      <c r="A15" s="114">
        <v>8</v>
      </c>
      <c r="B15" s="110" t="s">
        <v>115</v>
      </c>
      <c r="C15" s="105" t="e">
        <f>VLOOKUP(Table257519913140106110151155170178[[#This Row],[PEG]],Table1016[#All],2,FALSE)</f>
        <v>#N/A</v>
      </c>
      <c r="D15" s="112"/>
      <c r="E15" s="122" t="e">
        <f>VLOOKUP(Table257519913140106110151155170178[[#This Row],[PEG]],Table1016[#All],3,FALSE)</f>
        <v>#N/A</v>
      </c>
    </row>
    <row r="16" spans="1:5">
      <c r="A16" s="114">
        <v>9</v>
      </c>
      <c r="B16" s="110" t="s">
        <v>12</v>
      </c>
      <c r="C16" s="105" t="e">
        <f>VLOOKUP(Table257519913140106110151155170178[[#This Row],[PEG]],Table1016[#All],2,FALSE)</f>
        <v>#N/A</v>
      </c>
      <c r="D16" s="112"/>
      <c r="E16" s="122" t="e">
        <f>VLOOKUP(Table257519913140106110151155170178[[#This Row],[PEG]],Table1016[#All],3,FALSE)</f>
        <v>#N/A</v>
      </c>
    </row>
    <row r="17" spans="1:5">
      <c r="A17" s="114">
        <v>10</v>
      </c>
      <c r="B17" s="110" t="s">
        <v>12</v>
      </c>
      <c r="C17" s="105" t="e">
        <f>VLOOKUP(Table257519913140106110151155170178[[#This Row],[PEG]],Table1016[#All],2,FALSE)</f>
        <v>#N/A</v>
      </c>
      <c r="D17" s="113"/>
      <c r="E17" s="122" t="e">
        <f>VLOOKUP(Table257519913140106110151155170178[[#This Row],[PEG]],Table1016[#All],3,FALSE)</f>
        <v>#N/A</v>
      </c>
    </row>
    <row r="18" spans="1:5">
      <c r="A18" s="114">
        <v>11</v>
      </c>
      <c r="B18" s="110" t="s">
        <v>115</v>
      </c>
      <c r="C18" s="105" t="e">
        <f>VLOOKUP(Table257519913140106110151155170178[[#This Row],[PEG]],Table1016[#All],2,FALSE)</f>
        <v>#N/A</v>
      </c>
      <c r="D18" s="113"/>
      <c r="E18" s="122" t="e">
        <f>VLOOKUP(Table257519913140106110151155170178[[#This Row],[PEG]],Table1016[#All],3,FALSE)</f>
        <v>#N/A</v>
      </c>
    </row>
    <row r="19" spans="1:5">
      <c r="A19" s="114">
        <v>12</v>
      </c>
      <c r="B19" s="110" t="s">
        <v>115</v>
      </c>
      <c r="C19" s="105" t="e">
        <f>VLOOKUP(Table257519913140106110151155170178[[#This Row],[PEG]],Table1016[#All],2,FALSE)</f>
        <v>#N/A</v>
      </c>
      <c r="D19" s="113"/>
      <c r="E19" s="122" t="e">
        <f>VLOOKUP(Table257519913140106110151155170178[[#This Row],[PEG]],Table1016[#All],3,FALSE)</f>
        <v>#N/A</v>
      </c>
    </row>
    <row r="20" spans="1:5">
      <c r="A20" s="114">
        <v>13</v>
      </c>
      <c r="B20" s="110" t="s">
        <v>114</v>
      </c>
      <c r="C20" s="105" t="e">
        <f>VLOOKUP(Table257519913140106110151155170178[[#This Row],[PEG]],Table1016[#All],2,FALSE)</f>
        <v>#N/A</v>
      </c>
      <c r="D20" s="113"/>
      <c r="E20" s="122" t="e">
        <f>VLOOKUP(Table257519913140106110151155170178[[#This Row],[PEG]],Table1016[#All],3,FALSE)</f>
        <v>#N/A</v>
      </c>
    </row>
    <row r="21" spans="1:5">
      <c r="A21" s="114">
        <v>14</v>
      </c>
      <c r="B21" s="110" t="s">
        <v>12</v>
      </c>
      <c r="C21" s="105" t="e">
        <f>VLOOKUP(Table257519913140106110151155170178[[#This Row],[PEG]],Table1016[#All],2,FALSE)</f>
        <v>#N/A</v>
      </c>
      <c r="D21" s="113"/>
      <c r="E21" s="122" t="e">
        <f>VLOOKUP(Table257519913140106110151155170178[[#This Row],[PEG]],Table1016[#All],3,FALSE)</f>
        <v>#N/A</v>
      </c>
    </row>
    <row r="22" spans="1:5">
      <c r="A22" s="114">
        <v>15</v>
      </c>
      <c r="B22" s="110" t="s">
        <v>12</v>
      </c>
      <c r="C22" s="105" t="e">
        <f>VLOOKUP(Table257519913140106110151155170178[[#This Row],[PEG]],Table1016[#All],2,FALSE)</f>
        <v>#N/A</v>
      </c>
      <c r="D22" s="113"/>
      <c r="E22" s="122" t="e">
        <f>VLOOKUP(Table257519913140106110151155170178[[#This Row],[PEG]],Table1016[#All],3,FALSE)</f>
        <v>#N/A</v>
      </c>
    </row>
    <row r="23" spans="1:5">
      <c r="A23" s="114">
        <v>16</v>
      </c>
      <c r="B23" s="110" t="s">
        <v>115</v>
      </c>
      <c r="C23" s="105" t="e">
        <f>VLOOKUP(Table257519913140106110151155170178[[#This Row],[PEG]],Table1016[#All],2,FALSE)</f>
        <v>#N/A</v>
      </c>
      <c r="D23" s="113"/>
      <c r="E23" s="122" t="e">
        <f>VLOOKUP(Table257519913140106110151155170178[[#This Row],[PEG]],Table1016[#All],3,FALSE)</f>
        <v>#N/A</v>
      </c>
    </row>
    <row r="24" spans="1:5">
      <c r="A24" s="114">
        <v>17</v>
      </c>
      <c r="B24" s="110" t="s">
        <v>114</v>
      </c>
      <c r="C24" s="105" t="e">
        <f>VLOOKUP(Table257519913140106110151155170178[[#This Row],[PEG]],Table1016[#All],2,FALSE)</f>
        <v>#N/A</v>
      </c>
      <c r="D24" s="113"/>
      <c r="E24" s="122" t="e">
        <f>VLOOKUP(Table257519913140106110151155170178[[#This Row],[PEG]],Table1016[#All],3,FALSE)</f>
        <v>#N/A</v>
      </c>
    </row>
    <row r="25" spans="1:5">
      <c r="A25" s="114">
        <v>18</v>
      </c>
      <c r="B25" s="110" t="s">
        <v>12</v>
      </c>
      <c r="C25" s="105" t="e">
        <f>VLOOKUP(Table257519913140106110151155170178[[#This Row],[PEG]],Table1016[#All],2,FALSE)</f>
        <v>#N/A</v>
      </c>
      <c r="D25" s="113"/>
      <c r="E25" s="122" t="e">
        <f>VLOOKUP(Table257519913140106110151155170178[[#This Row],[PEG]],Table1016[#All],3,FALSE)</f>
        <v>#N/A</v>
      </c>
    </row>
    <row r="26" spans="1:5">
      <c r="A26" s="114">
        <v>19</v>
      </c>
      <c r="B26" s="110" t="s">
        <v>12</v>
      </c>
      <c r="C26" s="105" t="e">
        <f>VLOOKUP(Table257519913140106110151155170178[[#This Row],[PEG]],Table1016[#All],2,FALSE)</f>
        <v>#N/A</v>
      </c>
      <c r="D26" s="113"/>
      <c r="E26" s="122" t="e">
        <f>VLOOKUP(Table257519913140106110151155170178[[#This Row],[PEG]],Table1016[#All],3,FALSE)</f>
        <v>#N/A</v>
      </c>
    </row>
    <row r="27" spans="1:5">
      <c r="A27" s="114">
        <v>20</v>
      </c>
      <c r="B27" s="110" t="s">
        <v>115</v>
      </c>
      <c r="C27" s="105" t="e">
        <f>VLOOKUP(Table257519913140106110151155170178[[#This Row],[PEG]],Table1016[#All],2,FALSE)</f>
        <v>#N/A</v>
      </c>
      <c r="D27" s="113"/>
      <c r="E27" s="122" t="e">
        <f>VLOOKUP(Table257519913140106110151155170178[[#This Row],[PEG]],Table1016[#All],3,FALSE)</f>
        <v>#N/A</v>
      </c>
    </row>
    <row r="28" spans="1:5">
      <c r="A28" s="114">
        <v>21</v>
      </c>
      <c r="B28" s="110" t="s">
        <v>114</v>
      </c>
      <c r="C28" s="105" t="e">
        <f>VLOOKUP(Table257519913140106110151155170178[[#This Row],[PEG]],Table1016[#All],2,FALSE)</f>
        <v>#N/A</v>
      </c>
      <c r="D28" s="113"/>
      <c r="E28" s="122" t="e">
        <f>VLOOKUP(Table257519913140106110151155170178[[#This Row],[PEG]],Table1016[#All],3,FALSE)</f>
        <v>#N/A</v>
      </c>
    </row>
    <row r="29" spans="1:5">
      <c r="A29" s="114">
        <v>22</v>
      </c>
      <c r="B29" s="110" t="s">
        <v>12</v>
      </c>
      <c r="C29" s="105" t="e">
        <f>VLOOKUP(Table257519913140106110151155170178[[#This Row],[PEG]],Table1016[#All],2,FALSE)</f>
        <v>#N/A</v>
      </c>
      <c r="D29" s="113"/>
      <c r="E29" s="122" t="e">
        <f>VLOOKUP(Table257519913140106110151155170178[[#This Row],[PEG]],Table1016[#All],3,FALSE)</f>
        <v>#N/A</v>
      </c>
    </row>
    <row r="30" spans="1:5">
      <c r="A30" s="114">
        <v>23</v>
      </c>
      <c r="B30" s="110" t="s">
        <v>12</v>
      </c>
      <c r="C30" s="105" t="e">
        <f>VLOOKUP(Table257519913140106110151155170178[[#This Row],[PEG]],Table1016[#All],2,FALSE)</f>
        <v>#N/A</v>
      </c>
      <c r="D30" s="113"/>
      <c r="E30" s="122" t="e">
        <f>VLOOKUP(Table257519913140106110151155170178[[#This Row],[PEG]],Table1016[#All],3,FALSE)</f>
        <v>#N/A</v>
      </c>
    </row>
    <row r="31" spans="1:5">
      <c r="A31" s="114">
        <v>24</v>
      </c>
      <c r="B31" s="110" t="s">
        <v>115</v>
      </c>
      <c r="C31" s="105" t="e">
        <f>VLOOKUP(Table257519913140106110151155170178[[#This Row],[PEG]],Table1016[#All],2,FALSE)</f>
        <v>#N/A</v>
      </c>
      <c r="D31" s="113"/>
      <c r="E31" s="122" t="e">
        <f>VLOOKUP(Table257519913140106110151155170178[[#This Row],[PEG]],Table1016[#All],3,FALSE)</f>
        <v>#N/A</v>
      </c>
    </row>
    <row r="32" spans="1:5">
      <c r="A32" s="114">
        <v>25</v>
      </c>
      <c r="B32" s="110" t="s">
        <v>115</v>
      </c>
      <c r="C32" s="105" t="e">
        <f>VLOOKUP(Table257519913140106110151155170178[[#This Row],[PEG]],Table1016[#All],2,FALSE)</f>
        <v>#N/A</v>
      </c>
      <c r="D32" s="113"/>
      <c r="E32" s="122" t="e">
        <f>VLOOKUP(Table257519913140106110151155170178[[#This Row],[PEG]],Table1016[#All],3,FALSE)</f>
        <v>#N/A</v>
      </c>
    </row>
    <row r="33" spans="1:5">
      <c r="A33" s="114">
        <v>26</v>
      </c>
      <c r="B33" s="110" t="s">
        <v>124</v>
      </c>
      <c r="C33" s="105" t="e">
        <f>VLOOKUP(Table257519913140106110151155170178[[#This Row],[PEG]],Table1016[#All],2,FALSE)</f>
        <v>#N/A</v>
      </c>
      <c r="D33" s="113"/>
      <c r="E33" s="122" t="e">
        <f>VLOOKUP(Table257519913140106110151155170178[[#This Row],[PEG]],Table1016[#All],3,FALSE)</f>
        <v>#N/A</v>
      </c>
    </row>
    <row r="34" spans="1:5">
      <c r="A34" s="114">
        <v>27</v>
      </c>
      <c r="B34" s="110" t="s">
        <v>115</v>
      </c>
      <c r="C34" s="105" t="e">
        <f>VLOOKUP(Table257519913140106110151155170178[[#This Row],[PEG]],Table1016[#All],2,FALSE)</f>
        <v>#N/A</v>
      </c>
      <c r="D34" s="113"/>
      <c r="E34" s="122" t="e">
        <f>VLOOKUP(Table257519913140106110151155170178[[#This Row],[PEG]],Table1016[#All],3,FALSE)</f>
        <v>#N/A</v>
      </c>
    </row>
    <row r="35" spans="1:5">
      <c r="A35" s="114">
        <v>28</v>
      </c>
      <c r="B35" s="110" t="s">
        <v>124</v>
      </c>
      <c r="C35" s="105" t="e">
        <f>VLOOKUP(Table257519913140106110151155170178[[#This Row],[PEG]],Table1016[#All],2,FALSE)</f>
        <v>#N/A</v>
      </c>
      <c r="D35" s="113"/>
      <c r="E35" s="122" t="e">
        <f>VLOOKUP(Table257519913140106110151155170178[[#This Row],[PEG]],Table1016[#All],3,FALSE)</f>
        <v>#N/A</v>
      </c>
    </row>
    <row r="36" spans="1:5">
      <c r="A36" s="114">
        <v>29</v>
      </c>
      <c r="B36" s="110" t="s">
        <v>115</v>
      </c>
      <c r="C36" s="105" t="e">
        <f>VLOOKUP(Table257519913140106110151155170178[[#This Row],[PEG]],Table1016[#All],2,FALSE)</f>
        <v>#N/A</v>
      </c>
      <c r="D36" s="113"/>
      <c r="E36" s="122" t="e">
        <f>VLOOKUP(Table257519913140106110151155170178[[#This Row],[PEG]],Table1016[#All],3,FALSE)</f>
        <v>#N/A</v>
      </c>
    </row>
    <row r="37" spans="1:5">
      <c r="A37" s="114">
        <v>30</v>
      </c>
      <c r="B37" s="110" t="s">
        <v>12</v>
      </c>
      <c r="C37" s="105" t="e">
        <f>VLOOKUP(Table257519913140106110151155170178[[#This Row],[PEG]],Table1016[#All],2,FALSE)</f>
        <v>#N/A</v>
      </c>
      <c r="D37" s="113"/>
      <c r="E37" s="122" t="e">
        <f>VLOOKUP(Table257519913140106110151155170178[[#This Row],[PEG]],Table1016[#All],3,FALSE)</f>
        <v>#N/A</v>
      </c>
    </row>
    <row r="38" spans="1:5">
      <c r="A38" s="114">
        <v>31</v>
      </c>
      <c r="B38" s="110" t="s">
        <v>12</v>
      </c>
      <c r="C38" s="105" t="e">
        <f>VLOOKUP(Table257519913140106110151155170178[[#This Row],[PEG]],Table1016[#All],2,FALSE)</f>
        <v>#N/A</v>
      </c>
      <c r="D38" s="113"/>
      <c r="E38" s="122" t="e">
        <f>VLOOKUP(Table257519913140106110151155170178[[#This Row],[PEG]],Table1016[#All],3,FALSE)</f>
        <v>#N/A</v>
      </c>
    </row>
    <row r="39" spans="1:5">
      <c r="A39" s="114">
        <v>32</v>
      </c>
      <c r="B39" s="110" t="s">
        <v>12</v>
      </c>
      <c r="C39" s="105" t="e">
        <f>VLOOKUP(Table257519913140106110151155170178[[#This Row],[PEG]],Table1016[#All],2,FALSE)</f>
        <v>#N/A</v>
      </c>
      <c r="D39" s="113"/>
      <c r="E39" s="122" t="e">
        <f>VLOOKUP(Table257519913140106110151155170178[[#This Row],[PEG]],Table1016[#All],3,FALSE)</f>
        <v>#N/A</v>
      </c>
    </row>
    <row r="40" spans="1:5">
      <c r="A40" s="114">
        <v>33</v>
      </c>
      <c r="B40" s="110" t="s">
        <v>12</v>
      </c>
      <c r="C40" s="105" t="e">
        <f>VLOOKUP(Table257519913140106110151155170178[[#This Row],[PEG]],Table1016[#All],2,FALSE)</f>
        <v>#N/A</v>
      </c>
      <c r="D40" s="113"/>
      <c r="E40" s="122" t="e">
        <f>VLOOKUP(Table257519913140106110151155170178[[#This Row],[PEG]],Table1016[#All],3,FALSE)</f>
        <v>#N/A</v>
      </c>
    </row>
    <row r="41" spans="1:5">
      <c r="A41" s="114">
        <v>34</v>
      </c>
      <c r="B41" s="110" t="s">
        <v>115</v>
      </c>
      <c r="C41" s="105" t="e">
        <f>VLOOKUP(Table257519913140106110151155170178[[#This Row],[PEG]],Table1016[#All],2,FALSE)</f>
        <v>#N/A</v>
      </c>
      <c r="D41" s="113"/>
      <c r="E41" s="122" t="e">
        <f>VLOOKUP(Table257519913140106110151155170178[[#This Row],[PEG]],Table1016[#All],3,FALSE)</f>
        <v>#N/A</v>
      </c>
    </row>
    <row r="42" spans="1:5">
      <c r="A42" s="114">
        <v>35</v>
      </c>
      <c r="B42" s="110" t="s">
        <v>12</v>
      </c>
      <c r="C42" s="105" t="e">
        <f>VLOOKUP(Table257519913140106110151155170178[[#This Row],[PEG]],Table1016[#All],2,FALSE)</f>
        <v>#N/A</v>
      </c>
      <c r="D42" s="111"/>
      <c r="E42" s="122" t="e">
        <f>VLOOKUP(Table257519913140106110151155170178[[#This Row],[PEG]],Table1016[#All],3,FALSE)</f>
        <v>#N/A</v>
      </c>
    </row>
    <row r="43" spans="1:5">
      <c r="A43" s="114">
        <v>36</v>
      </c>
      <c r="B43" s="110" t="s">
        <v>115</v>
      </c>
      <c r="C43" s="105" t="e">
        <f>VLOOKUP(Table257519913140106110151155170178[[#This Row],[PEG]],Table1016[#All],2,FALSE)</f>
        <v>#N/A</v>
      </c>
      <c r="D43" s="111"/>
      <c r="E43" s="122" t="e">
        <f>VLOOKUP(Table257519913140106110151155170178[[#This Row],[PEG]],Table1016[#All],3,FALSE)</f>
        <v>#N/A</v>
      </c>
    </row>
    <row r="44" spans="1:5">
      <c r="A44" s="114">
        <v>37</v>
      </c>
      <c r="B44" s="110" t="s">
        <v>13</v>
      </c>
      <c r="C44" s="17" t="s">
        <v>13</v>
      </c>
      <c r="D44" s="111"/>
      <c r="E44" s="31"/>
    </row>
  </sheetData>
  <mergeCells count="1">
    <mergeCell ref="A1:B1"/>
  </mergeCells>
  <conditionalFormatting sqref="B8:B18">
    <cfRule type="containsText" dxfId="1810" priority="1" operator="containsText" text="Hear">
      <formula>NOT(ISERROR(SEARCH("Hear",B8)))</formula>
    </cfRule>
  </conditionalFormatting>
  <conditionalFormatting sqref="B30">
    <cfRule type="containsText" dxfId="1809" priority="4" operator="containsText" text="Hear">
      <formula>NOT(ISERROR(SEARCH("Hear",B30)))</formula>
    </cfRule>
  </conditionalFormatting>
  <conditionalFormatting sqref="B43:B44">
    <cfRule type="containsText" dxfId="1808" priority="8" operator="containsText" text="Hear">
      <formula>NOT(ISERROR(SEARCH("Hear",B43)))</formula>
    </cfRule>
  </conditionalFormatting>
  <conditionalFormatting sqref="E44">
    <cfRule type="containsText" dxfId="1807" priority="6" operator="containsText" text="WEB SERVICE">
      <formula>NOT(ISERROR(SEARCH("WEB SERVICE",E44)))</formula>
    </cfRule>
    <cfRule type="containsText" dxfId="1806" priority="7" operator="containsText" text="DB">
      <formula>NOT(ISERROR(SEARCH("DB",E44)))</formula>
    </cfRule>
  </conditionalFormatting>
  <conditionalFormatting sqref="C44">
    <cfRule type="expression" dxfId="1805" priority="9">
      <formula>$B44="Dial"</formula>
    </cfRule>
  </conditionalFormatting>
  <conditionalFormatting sqref="C44">
    <cfRule type="expression" dxfId="1804" priority="3">
      <formula>$B44="Speak"</formula>
    </cfRule>
  </conditionalFormatting>
  <conditionalFormatting sqref="B19:B29 B31:B35 B42">
    <cfRule type="containsText" dxfId="1803" priority="5" operator="containsText" text="Hear">
      <formula>NOT(ISERROR(SEARCH("Hear",B19)))</formula>
    </cfRule>
  </conditionalFormatting>
  <hyperlinks>
    <hyperlink ref="A1" location="'Test Case Overview'!A1" display="Return to Test Case Overview" xr:uid="{00000000-0004-0000-87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 id="{E308E0E8-D65A-4F75-967F-FDBE3DA38F70}">
            <xm:f>'TC1'!$B8="HANGUP"</xm:f>
            <x14:dxf>
              <font>
                <b/>
                <i val="0"/>
              </font>
            </x14:dxf>
          </x14:cfRule>
          <x14:cfRule type="expression" priority="10" id="{3A0B6007-5224-400B-934E-175B30D637B0}">
            <xm:f>'TC1'!$B8="Dial"</xm:f>
            <x14:dxf>
              <font>
                <b/>
                <i val="0"/>
                <color rgb="FFFF0000"/>
              </font>
            </x14:dxf>
          </x14:cfRule>
          <xm:sqref>C8</xm:sqref>
        </x14:conditionalFormatting>
        <x14:conditionalFormatting xmlns:xm="http://schemas.microsoft.com/office/excel/2006/main">
          <x14:cfRule type="expression" priority="11" id="{1AF188A0-58DA-4A15-8345-777CCF6EF52B}">
            <xm:f>'TC1'!$B8="Speak"</xm:f>
            <x14:dxf>
              <font>
                <b/>
                <i val="0"/>
                <color rgb="FFFF0000"/>
              </font>
            </x14:dxf>
          </x14:cfRule>
          <xm:sqref>C8</xm:sqref>
        </x14:conditionalFormatting>
        <x14:conditionalFormatting xmlns:xm="http://schemas.microsoft.com/office/excel/2006/main">
          <x14:cfRule type="containsText" priority="12" operator="containsText" text="DB" id="{31129692-B20A-4255-A934-9939FE27DA8A}">
            <xm:f>NOT(ISERROR(SEARCH("DB",'TC1'!E10)))</xm:f>
            <x14:dxf>
              <font>
                <color rgb="FF006100"/>
              </font>
              <fill>
                <patternFill>
                  <bgColor rgb="FFC6EFCE"/>
                </patternFill>
              </fill>
            </x14:dxf>
          </x14:cfRule>
          <x14:cfRule type="containsText" priority="12" operator="containsText" text="WEB SERVICE" id="{2E704711-47D0-40BC-B121-8AFBA88810CC}">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containsText" priority="14" operator="containsText" text="Hear" id="{6AF551CA-492C-4DE0-BC63-E8187CC862B0}">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966" id="{E308E0E8-D65A-4F75-967F-FDBE3DA38F70}">
            <xm:f>'TC1'!$B14="HANGUP"</xm:f>
            <x14:dxf>
              <font>
                <b/>
                <i val="0"/>
              </font>
            </x14:dxf>
          </x14:cfRule>
          <x14:cfRule type="expression" priority="2967" id="{3A0B6007-5224-400B-934E-175B30D637B0}">
            <xm:f>'TC1'!$B14="Dial"</xm:f>
            <x14:dxf>
              <font>
                <b/>
                <i val="0"/>
                <color rgb="FFFF0000"/>
              </font>
            </x14:dxf>
          </x14:cfRule>
          <xm:sqref>C34:C43</xm:sqref>
        </x14:conditionalFormatting>
        <x14:conditionalFormatting xmlns:xm="http://schemas.microsoft.com/office/excel/2006/main">
          <x14:cfRule type="expression" priority="2968" id="{E308E0E8-D65A-4F75-967F-FDBE3DA38F70}">
            <xm:f>'TC1'!#REF!="HANGUP"</xm:f>
            <x14:dxf>
              <font>
                <b/>
                <i val="0"/>
              </font>
            </x14:dxf>
          </x14:cfRule>
          <x14:cfRule type="expression" priority="2969" id="{3A0B6007-5224-400B-934E-175B30D637B0}">
            <xm:f>'TC1'!#REF!="Dial"</xm:f>
            <x14:dxf>
              <font>
                <b/>
                <i val="0"/>
                <color rgb="FFFF0000"/>
              </font>
            </x14:dxf>
          </x14:cfRule>
          <xm:sqref>C13:C33</xm:sqref>
        </x14:conditionalFormatting>
        <x14:conditionalFormatting xmlns:xm="http://schemas.microsoft.com/office/excel/2006/main">
          <x14:cfRule type="expression" priority="2973" id="{1AF188A0-58DA-4A15-8345-777CCF6EF52B}">
            <xm:f>'TC1'!$B14="Speak"</xm:f>
            <x14:dxf>
              <font>
                <b/>
                <i val="0"/>
                <color rgb="FFFF0000"/>
              </font>
            </x14:dxf>
          </x14:cfRule>
          <xm:sqref>C34:C43</xm:sqref>
        </x14:conditionalFormatting>
        <x14:conditionalFormatting xmlns:xm="http://schemas.microsoft.com/office/excel/2006/main">
          <x14:cfRule type="expression" priority="2974" id="{1AF188A0-58DA-4A15-8345-777CCF6EF52B}">
            <xm:f>'TC1'!#REF!="Speak"</xm:f>
            <x14:dxf>
              <font>
                <b/>
                <i val="0"/>
                <color rgb="FFFF0000"/>
              </font>
            </x14:dxf>
          </x14:cfRule>
          <xm:sqref>C13:C33</xm:sqref>
        </x14:conditionalFormatting>
        <x14:conditionalFormatting xmlns:xm="http://schemas.microsoft.com/office/excel/2006/main">
          <x14:cfRule type="containsText" priority="2978" operator="containsText" text="DB" id="{31129692-B20A-4255-A934-9939FE27DA8A}">
            <xm:f>NOT(ISERROR(SEARCH("DB",'TC1'!E14)))</xm:f>
            <x14:dxf>
              <font>
                <color rgb="FF006100"/>
              </font>
              <fill>
                <patternFill>
                  <bgColor rgb="FFC6EFCE"/>
                </patternFill>
              </fill>
            </x14:dxf>
          </x14:cfRule>
          <x14:cfRule type="containsText" priority="2979" operator="containsText" text="WEB SERVICE" id="{2E704711-47D0-40BC-B121-8AFBA88810CC}">
            <xm:f>NOT(ISERROR(SEARCH("WEB SERVICE",'TC1'!E14)))</xm:f>
            <x14:dxf>
              <font>
                <color rgb="FF9C0006"/>
              </font>
              <fill>
                <patternFill>
                  <bgColor rgb="FFFFC7CE"/>
                </patternFill>
              </fill>
            </x14:dxf>
          </x14:cfRule>
          <xm:sqref>E34:E43</xm:sqref>
        </x14:conditionalFormatting>
        <x14:conditionalFormatting xmlns:xm="http://schemas.microsoft.com/office/excel/2006/main">
          <x14:cfRule type="containsText" priority="2980" operator="containsText" text="DB" id="{31129692-B20A-4255-A934-9939FE27DA8A}">
            <xm:f>NOT(ISERROR(SEARCH("DB",'TC1'!#REF!)))</xm:f>
            <x14:dxf>
              <font>
                <color rgb="FF006100"/>
              </font>
              <fill>
                <patternFill>
                  <bgColor rgb="FFC6EFCE"/>
                </patternFill>
              </fill>
            </x14:dxf>
          </x14:cfRule>
          <x14:cfRule type="containsText" priority="2981" operator="containsText" text="WEB SERVICE" id="{2E704711-47D0-40BC-B121-8AFBA88810CC}">
            <xm:f>NOT(ISERROR(SEARCH("WEB SERVICE",'TC1'!#REF!)))</xm:f>
            <x14:dxf>
              <font>
                <color rgb="FF9C0006"/>
              </font>
              <fill>
                <patternFill>
                  <bgColor rgb="FFFFC7CE"/>
                </patternFill>
              </fill>
            </x14:dxf>
          </x14:cfRule>
          <xm:sqref>E13:E33</xm:sqref>
        </x14:conditionalFormatting>
        <x14:conditionalFormatting xmlns:xm="http://schemas.microsoft.com/office/excel/2006/main">
          <x14:cfRule type="expression" priority="4438" id="{E308E0E8-D65A-4F75-967F-FDBE3DA38F70}">
            <xm:f>'TC1'!$B10="HANGUP"</xm:f>
            <x14:dxf>
              <font>
                <b/>
                <i val="0"/>
              </font>
            </x14:dxf>
          </x14:cfRule>
          <x14:cfRule type="expression" priority="4439" id="{3A0B6007-5224-400B-934E-175B30D637B0}">
            <xm:f>'TC1'!$B10="Dial"</xm:f>
            <x14:dxf>
              <font>
                <b/>
                <i val="0"/>
                <color rgb="FFFF0000"/>
              </font>
            </x14:dxf>
          </x14:cfRule>
          <xm:sqref>C9:C12</xm:sqref>
        </x14:conditionalFormatting>
        <x14:conditionalFormatting xmlns:xm="http://schemas.microsoft.com/office/excel/2006/main">
          <x14:cfRule type="expression" priority="4441" id="{1AF188A0-58DA-4A15-8345-777CCF6EF52B}">
            <xm:f>'TC1'!$B10="Speak"</xm:f>
            <x14:dxf>
              <font>
                <b/>
                <i val="0"/>
                <color rgb="FFFF0000"/>
              </font>
            </x14:dxf>
          </x14:cfRule>
          <xm:sqref>C9:C12</xm:sqref>
        </x14:conditionalFormatting>
        <x14:conditionalFormatting xmlns:xm="http://schemas.microsoft.com/office/excel/2006/main">
          <x14:cfRule type="containsText" priority="6303" operator="containsText" text="Hear" id="{FE20757E-E673-4521-81AF-F9289DB95042}">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sheetPr codeName="Sheet138"/>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TC136</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VLOOKUP(Table257519913140106110151155170178180[[#This Row],[PEG]],Table1016[#All],2,FALSE)</f>
        <v>#N/A</v>
      </c>
      <c r="D9" s="125"/>
      <c r="E9" s="122" t="e">
        <f>VLOOKUP(Table257519913140106110151155170178180[[#This Row],[PEG]],Table1016[#All],3,FALSE)</f>
        <v>#N/A</v>
      </c>
    </row>
    <row r="10" spans="1:5">
      <c r="A10" s="114">
        <v>3</v>
      </c>
      <c r="B10" s="110" t="s">
        <v>115</v>
      </c>
      <c r="C10" s="105" t="e">
        <f>VLOOKUP(Table257519913140106110151155170178180[[#This Row],[PEG]],Table1016[#All],2,FALSE)</f>
        <v>#N/A</v>
      </c>
      <c r="D10" s="125"/>
      <c r="E10" s="122" t="e">
        <f>VLOOKUP(Table257519913140106110151155170178180[[#This Row],[PEG]],Table1016[#All],3,FALSE)</f>
        <v>#N/A</v>
      </c>
    </row>
    <row r="11" spans="1:5">
      <c r="A11" s="114">
        <v>4</v>
      </c>
      <c r="B11" s="110" t="s">
        <v>115</v>
      </c>
      <c r="C11" s="105" t="e">
        <f>VLOOKUP(Table257519913140106110151155170178180[[#This Row],[PEG]],Table1016[#All],2,FALSE)</f>
        <v>#N/A</v>
      </c>
      <c r="D11" s="125"/>
      <c r="E11" s="122" t="e">
        <f>VLOOKUP(Table257519913140106110151155170178180[[#This Row],[PEG]],Table1016[#All],3,FALSE)</f>
        <v>#N/A</v>
      </c>
    </row>
    <row r="12" spans="1:5">
      <c r="A12" s="114">
        <v>5</v>
      </c>
      <c r="B12" s="110" t="s">
        <v>114</v>
      </c>
      <c r="C12" s="105" t="e">
        <f>VLOOKUP(Table257519913140106110151155170178180[[#This Row],[PEG]],Table1016[#All],2,FALSE)</f>
        <v>#N/A</v>
      </c>
      <c r="D12" s="125"/>
      <c r="E12" s="122" t="e">
        <f>VLOOKUP(Table257519913140106110151155170178180[[#This Row],[PEG]],Table1016[#All],3,FALSE)</f>
        <v>#N/A</v>
      </c>
    </row>
    <row r="13" spans="1:5">
      <c r="A13" s="114">
        <v>6</v>
      </c>
      <c r="B13" s="110" t="s">
        <v>115</v>
      </c>
      <c r="C13" s="105" t="e">
        <f>VLOOKUP(Table257519913140106110151155170178180[[#This Row],[PEG]],Table1016[#All],2,FALSE)</f>
        <v>#N/A</v>
      </c>
      <c r="D13" s="125"/>
      <c r="E13" s="122" t="e">
        <f>VLOOKUP(Table257519913140106110151155170178180[[#This Row],[PEG]],Table1016[#All],3,FALSE)</f>
        <v>#N/A</v>
      </c>
    </row>
    <row r="14" spans="1:5">
      <c r="A14" s="114">
        <v>7</v>
      </c>
      <c r="B14" s="110" t="s">
        <v>114</v>
      </c>
      <c r="C14" s="105" t="e">
        <f>VLOOKUP(Table257519913140106110151155170178180[[#This Row],[PEG]],Table1016[#All],2,FALSE)</f>
        <v>#N/A</v>
      </c>
      <c r="D14" s="125"/>
      <c r="E14" s="122" t="e">
        <f>VLOOKUP(Table257519913140106110151155170178180[[#This Row],[PEG]],Table1016[#All],3,FALSE)</f>
        <v>#N/A</v>
      </c>
    </row>
    <row r="15" spans="1:5">
      <c r="A15" s="114">
        <v>8</v>
      </c>
      <c r="B15" s="110" t="s">
        <v>115</v>
      </c>
      <c r="C15" s="105" t="e">
        <f>VLOOKUP(Table257519913140106110151155170178180[[#This Row],[PEG]],Table1016[#All],2,FALSE)</f>
        <v>#N/A</v>
      </c>
      <c r="D15" s="112"/>
      <c r="E15" s="122" t="e">
        <f>VLOOKUP(Table257519913140106110151155170178180[[#This Row],[PEG]],Table1016[#All],3,FALSE)</f>
        <v>#N/A</v>
      </c>
    </row>
    <row r="16" spans="1:5">
      <c r="A16" s="114">
        <v>9</v>
      </c>
      <c r="B16" s="110" t="s">
        <v>12</v>
      </c>
      <c r="C16" s="105" t="e">
        <f>VLOOKUP(Table257519913140106110151155170178180[[#This Row],[PEG]],Table1016[#All],2,FALSE)</f>
        <v>#N/A</v>
      </c>
      <c r="D16" s="112"/>
      <c r="E16" s="122" t="e">
        <f>VLOOKUP(Table257519913140106110151155170178180[[#This Row],[PEG]],Table1016[#All],3,FALSE)</f>
        <v>#N/A</v>
      </c>
    </row>
    <row r="17" spans="1:5">
      <c r="A17" s="114">
        <v>10</v>
      </c>
      <c r="B17" s="110" t="s">
        <v>12</v>
      </c>
      <c r="C17" s="105" t="e">
        <f>VLOOKUP(Table257519913140106110151155170178180[[#This Row],[PEG]],Table1016[#All],2,FALSE)</f>
        <v>#N/A</v>
      </c>
      <c r="D17" s="113"/>
      <c r="E17" s="122" t="e">
        <f>VLOOKUP(Table257519913140106110151155170178180[[#This Row],[PEG]],Table1016[#All],3,FALSE)</f>
        <v>#N/A</v>
      </c>
    </row>
    <row r="18" spans="1:5">
      <c r="A18" s="114">
        <v>11</v>
      </c>
      <c r="B18" s="110" t="s">
        <v>115</v>
      </c>
      <c r="C18" s="105" t="e">
        <f>VLOOKUP(Table257519913140106110151155170178180[[#This Row],[PEG]],Table1016[#All],2,FALSE)</f>
        <v>#N/A</v>
      </c>
      <c r="D18" s="113"/>
      <c r="E18" s="122" t="e">
        <f>VLOOKUP(Table257519913140106110151155170178180[[#This Row],[PEG]],Table1016[#All],3,FALSE)</f>
        <v>#N/A</v>
      </c>
    </row>
    <row r="19" spans="1:5">
      <c r="A19" s="114">
        <v>12</v>
      </c>
      <c r="B19" s="110" t="s">
        <v>115</v>
      </c>
      <c r="C19" s="105" t="e">
        <f>VLOOKUP(Table257519913140106110151155170178180[[#This Row],[PEG]],Table1016[#All],2,FALSE)</f>
        <v>#N/A</v>
      </c>
      <c r="D19" s="113"/>
      <c r="E19" s="122" t="e">
        <f>VLOOKUP(Table257519913140106110151155170178180[[#This Row],[PEG]],Table1016[#All],3,FALSE)</f>
        <v>#N/A</v>
      </c>
    </row>
    <row r="20" spans="1:5">
      <c r="A20" s="114">
        <v>13</v>
      </c>
      <c r="B20" s="110" t="s">
        <v>114</v>
      </c>
      <c r="C20" s="105" t="e">
        <f>VLOOKUP(Table257519913140106110151155170178180[[#This Row],[PEG]],Table1016[#All],2,FALSE)</f>
        <v>#N/A</v>
      </c>
      <c r="D20" s="113"/>
      <c r="E20" s="122" t="e">
        <f>VLOOKUP(Table257519913140106110151155170178180[[#This Row],[PEG]],Table1016[#All],3,FALSE)</f>
        <v>#N/A</v>
      </c>
    </row>
    <row r="21" spans="1:5">
      <c r="A21" s="114">
        <v>14</v>
      </c>
      <c r="B21" s="110" t="s">
        <v>12</v>
      </c>
      <c r="C21" s="105" t="e">
        <f>VLOOKUP(Table257519913140106110151155170178180[[#This Row],[PEG]],Table1016[#All],2,FALSE)</f>
        <v>#N/A</v>
      </c>
      <c r="D21" s="113"/>
      <c r="E21" s="122" t="e">
        <f>VLOOKUP(Table257519913140106110151155170178180[[#This Row],[PEG]],Table1016[#All],3,FALSE)</f>
        <v>#N/A</v>
      </c>
    </row>
    <row r="22" spans="1:5">
      <c r="A22" s="114">
        <v>15</v>
      </c>
      <c r="B22" s="110" t="s">
        <v>12</v>
      </c>
      <c r="C22" s="105" t="e">
        <f>VLOOKUP(Table257519913140106110151155170178180[[#This Row],[PEG]],Table1016[#All],2,FALSE)</f>
        <v>#N/A</v>
      </c>
      <c r="D22" s="113"/>
      <c r="E22" s="122" t="e">
        <f>VLOOKUP(Table257519913140106110151155170178180[[#This Row],[PEG]],Table1016[#All],3,FALSE)</f>
        <v>#N/A</v>
      </c>
    </row>
    <row r="23" spans="1:5">
      <c r="A23" s="114">
        <v>16</v>
      </c>
      <c r="B23" s="110" t="s">
        <v>115</v>
      </c>
      <c r="C23" s="105" t="e">
        <f>VLOOKUP(Table257519913140106110151155170178180[[#This Row],[PEG]],Table1016[#All],2,FALSE)</f>
        <v>#N/A</v>
      </c>
      <c r="D23" s="113"/>
      <c r="E23" s="122" t="e">
        <f>VLOOKUP(Table257519913140106110151155170178180[[#This Row],[PEG]],Table1016[#All],3,FALSE)</f>
        <v>#N/A</v>
      </c>
    </row>
    <row r="24" spans="1:5">
      <c r="A24" s="114">
        <v>17</v>
      </c>
      <c r="B24" s="110" t="s">
        <v>114</v>
      </c>
      <c r="C24" s="105" t="e">
        <f>VLOOKUP(Table257519913140106110151155170178180[[#This Row],[PEG]],Table1016[#All],2,FALSE)</f>
        <v>#N/A</v>
      </c>
      <c r="D24" s="113"/>
      <c r="E24" s="122" t="e">
        <f>VLOOKUP(Table257519913140106110151155170178180[[#This Row],[PEG]],Table1016[#All],3,FALSE)</f>
        <v>#N/A</v>
      </c>
    </row>
    <row r="25" spans="1:5">
      <c r="A25" s="114">
        <v>18</v>
      </c>
      <c r="B25" s="110" t="s">
        <v>12</v>
      </c>
      <c r="C25" s="105" t="e">
        <f>VLOOKUP(Table257519913140106110151155170178180[[#This Row],[PEG]],Table1016[#All],2,FALSE)</f>
        <v>#N/A</v>
      </c>
      <c r="D25" s="113"/>
      <c r="E25" s="122" t="e">
        <f>VLOOKUP(Table257519913140106110151155170178180[[#This Row],[PEG]],Table1016[#All],3,FALSE)</f>
        <v>#N/A</v>
      </c>
    </row>
    <row r="26" spans="1:5">
      <c r="A26" s="114">
        <v>19</v>
      </c>
      <c r="B26" s="110" t="s">
        <v>12</v>
      </c>
      <c r="C26" s="105" t="e">
        <f>VLOOKUP(Table257519913140106110151155170178180[[#This Row],[PEG]],Table1016[#All],2,FALSE)</f>
        <v>#N/A</v>
      </c>
      <c r="D26" s="113"/>
      <c r="E26" s="122" t="e">
        <f>VLOOKUP(Table257519913140106110151155170178180[[#This Row],[PEG]],Table1016[#All],3,FALSE)</f>
        <v>#N/A</v>
      </c>
    </row>
    <row r="27" spans="1:5">
      <c r="A27" s="114">
        <v>20</v>
      </c>
      <c r="B27" s="110" t="s">
        <v>115</v>
      </c>
      <c r="C27" s="105" t="e">
        <f>VLOOKUP(Table257519913140106110151155170178180[[#This Row],[PEG]],Table1016[#All],2,FALSE)</f>
        <v>#N/A</v>
      </c>
      <c r="D27" s="113"/>
      <c r="E27" s="122" t="e">
        <f>VLOOKUP(Table257519913140106110151155170178180[[#This Row],[PEG]],Table1016[#All],3,FALSE)</f>
        <v>#N/A</v>
      </c>
    </row>
    <row r="28" spans="1:5">
      <c r="A28" s="114">
        <v>21</v>
      </c>
      <c r="B28" s="110" t="s">
        <v>114</v>
      </c>
      <c r="C28" s="105" t="e">
        <f>VLOOKUP(Table257519913140106110151155170178180[[#This Row],[PEG]],Table1016[#All],2,FALSE)</f>
        <v>#N/A</v>
      </c>
      <c r="D28" s="113"/>
      <c r="E28" s="122" t="e">
        <f>VLOOKUP(Table257519913140106110151155170178180[[#This Row],[PEG]],Table1016[#All],3,FALSE)</f>
        <v>#N/A</v>
      </c>
    </row>
    <row r="29" spans="1:5">
      <c r="A29" s="114">
        <v>22</v>
      </c>
      <c r="B29" s="110" t="s">
        <v>12</v>
      </c>
      <c r="C29" s="105" t="e">
        <f>VLOOKUP(Table257519913140106110151155170178180[[#This Row],[PEG]],Table1016[#All],2,FALSE)</f>
        <v>#N/A</v>
      </c>
      <c r="D29" s="113"/>
      <c r="E29" s="122" t="e">
        <f>VLOOKUP(Table257519913140106110151155170178180[[#This Row],[PEG]],Table1016[#All],3,FALSE)</f>
        <v>#N/A</v>
      </c>
    </row>
    <row r="30" spans="1:5">
      <c r="A30" s="114">
        <v>23</v>
      </c>
      <c r="B30" s="110" t="s">
        <v>12</v>
      </c>
      <c r="C30" s="105" t="e">
        <f>VLOOKUP(Table257519913140106110151155170178180[[#This Row],[PEG]],Table1016[#All],2,FALSE)</f>
        <v>#N/A</v>
      </c>
      <c r="D30" s="113"/>
      <c r="E30" s="122" t="e">
        <f>VLOOKUP(Table257519913140106110151155170178180[[#This Row],[PEG]],Table1016[#All],3,FALSE)</f>
        <v>#N/A</v>
      </c>
    </row>
    <row r="31" spans="1:5">
      <c r="A31" s="114">
        <v>24</v>
      </c>
      <c r="B31" s="110" t="s">
        <v>115</v>
      </c>
      <c r="C31" s="105" t="e">
        <f>VLOOKUP(Table257519913140106110151155170178180[[#This Row],[PEG]],Table1016[#All],2,FALSE)</f>
        <v>#N/A</v>
      </c>
      <c r="D31" s="113"/>
      <c r="E31" s="122" t="e">
        <f>VLOOKUP(Table257519913140106110151155170178180[[#This Row],[PEG]],Table1016[#All],3,FALSE)</f>
        <v>#N/A</v>
      </c>
    </row>
    <row r="32" spans="1:5">
      <c r="A32" s="114">
        <v>25</v>
      </c>
      <c r="B32" s="110" t="s">
        <v>115</v>
      </c>
      <c r="C32" s="105" t="e">
        <f>VLOOKUP(Table257519913140106110151155170178180[[#This Row],[PEG]],Table1016[#All],2,FALSE)</f>
        <v>#N/A</v>
      </c>
      <c r="D32" s="113"/>
      <c r="E32" s="122" t="e">
        <f>VLOOKUP(Table257519913140106110151155170178180[[#This Row],[PEG]],Table1016[#All],3,FALSE)</f>
        <v>#N/A</v>
      </c>
    </row>
    <row r="33" spans="1:5">
      <c r="A33" s="114">
        <v>26</v>
      </c>
      <c r="B33" s="110" t="s">
        <v>124</v>
      </c>
      <c r="C33" s="105" t="e">
        <f>VLOOKUP(Table257519913140106110151155170178180[[#This Row],[PEG]],Table1016[#All],2,FALSE)</f>
        <v>#N/A</v>
      </c>
      <c r="D33" s="113"/>
      <c r="E33" s="122" t="e">
        <f>VLOOKUP(Table257519913140106110151155170178180[[#This Row],[PEG]],Table1016[#All],3,FALSE)</f>
        <v>#N/A</v>
      </c>
    </row>
    <row r="34" spans="1:5">
      <c r="A34" s="114">
        <v>27</v>
      </c>
      <c r="B34" s="110" t="s">
        <v>115</v>
      </c>
      <c r="C34" s="105" t="e">
        <f>VLOOKUP(Table257519913140106110151155170178180[[#This Row],[PEG]],Table1016[#All],2,FALSE)</f>
        <v>#N/A</v>
      </c>
      <c r="D34" s="113"/>
      <c r="E34" s="122" t="e">
        <f>VLOOKUP(Table257519913140106110151155170178180[[#This Row],[PEG]],Table1016[#All],3,FALSE)</f>
        <v>#N/A</v>
      </c>
    </row>
    <row r="35" spans="1:5">
      <c r="A35" s="114">
        <v>28</v>
      </c>
      <c r="B35" s="110" t="s">
        <v>124</v>
      </c>
      <c r="C35" s="105" t="e">
        <f>VLOOKUP(Table257519913140106110151155170178180[[#This Row],[PEG]],Table1016[#All],2,FALSE)</f>
        <v>#N/A</v>
      </c>
      <c r="D35" s="113"/>
      <c r="E35" s="122" t="e">
        <f>VLOOKUP(Table257519913140106110151155170178180[[#This Row],[PEG]],Table1016[#All],3,FALSE)</f>
        <v>#N/A</v>
      </c>
    </row>
    <row r="36" spans="1:5">
      <c r="A36" s="114">
        <v>29</v>
      </c>
      <c r="B36" s="110" t="s">
        <v>115</v>
      </c>
      <c r="C36" s="105" t="e">
        <f>VLOOKUP(Table257519913140106110151155170178180[[#This Row],[PEG]],Table1016[#All],2,FALSE)</f>
        <v>#N/A</v>
      </c>
      <c r="D36" s="113"/>
      <c r="E36" s="122" t="e">
        <f>VLOOKUP(Table257519913140106110151155170178180[[#This Row],[PEG]],Table1016[#All],3,FALSE)</f>
        <v>#N/A</v>
      </c>
    </row>
    <row r="37" spans="1:5">
      <c r="A37" s="114">
        <v>30</v>
      </c>
      <c r="B37" s="110" t="s">
        <v>12</v>
      </c>
      <c r="C37" s="105" t="e">
        <f>VLOOKUP(Table257519913140106110151155170178180[[#This Row],[PEG]],Table1016[#All],2,FALSE)</f>
        <v>#N/A</v>
      </c>
      <c r="D37" s="113"/>
      <c r="E37" s="122" t="e">
        <f>VLOOKUP(Table257519913140106110151155170178180[[#This Row],[PEG]],Table1016[#All],3,FALSE)</f>
        <v>#N/A</v>
      </c>
    </row>
    <row r="38" spans="1:5">
      <c r="A38" s="114">
        <v>31</v>
      </c>
      <c r="B38" s="110" t="s">
        <v>12</v>
      </c>
      <c r="C38" s="105" t="e">
        <f>VLOOKUP(Table257519913140106110151155170178180[[#This Row],[PEG]],Table1016[#All],2,FALSE)</f>
        <v>#N/A</v>
      </c>
      <c r="D38" s="113"/>
      <c r="E38" s="122" t="e">
        <f>VLOOKUP(Table257519913140106110151155170178180[[#This Row],[PEG]],Table1016[#All],3,FALSE)</f>
        <v>#N/A</v>
      </c>
    </row>
    <row r="39" spans="1:5">
      <c r="A39" s="114">
        <v>32</v>
      </c>
      <c r="B39" s="110" t="s">
        <v>12</v>
      </c>
      <c r="C39" s="105" t="e">
        <f>VLOOKUP(Table257519913140106110151155170178180[[#This Row],[PEG]],Table1016[#All],2,FALSE)</f>
        <v>#N/A</v>
      </c>
      <c r="D39" s="113"/>
      <c r="E39" s="122" t="e">
        <f>VLOOKUP(Table257519913140106110151155170178180[[#This Row],[PEG]],Table1016[#All],3,FALSE)</f>
        <v>#N/A</v>
      </c>
    </row>
    <row r="40" spans="1:5">
      <c r="A40" s="114">
        <v>33</v>
      </c>
      <c r="B40" s="110" t="s">
        <v>12</v>
      </c>
      <c r="C40" s="105" t="e">
        <f>VLOOKUP(Table257519913140106110151155170178180[[#This Row],[PEG]],Table1016[#All],2,FALSE)</f>
        <v>#N/A</v>
      </c>
      <c r="D40" s="113"/>
      <c r="E40" s="122" t="e">
        <f>VLOOKUP(Table257519913140106110151155170178180[[#This Row],[PEG]],Table1016[#All],3,FALSE)</f>
        <v>#N/A</v>
      </c>
    </row>
    <row r="41" spans="1:5">
      <c r="A41" s="114">
        <v>34</v>
      </c>
      <c r="B41" s="110" t="s">
        <v>115</v>
      </c>
      <c r="C41" s="105" t="e">
        <f>VLOOKUP(Table257519913140106110151155170178180[[#This Row],[PEG]],Table1016[#All],2,FALSE)</f>
        <v>#N/A</v>
      </c>
      <c r="D41" s="113"/>
      <c r="E41" s="122" t="e">
        <f>VLOOKUP(Table257519913140106110151155170178180[[#This Row],[PEG]],Table1016[#All],3,FALSE)</f>
        <v>#N/A</v>
      </c>
    </row>
    <row r="42" spans="1:5">
      <c r="A42" s="114">
        <v>35</v>
      </c>
      <c r="B42" s="110" t="s">
        <v>12</v>
      </c>
      <c r="C42" s="105" t="e">
        <f>VLOOKUP(Table257519913140106110151155170178180[[#This Row],[PEG]],Table1016[#All],2,FALSE)</f>
        <v>#N/A</v>
      </c>
      <c r="D42" s="111"/>
      <c r="E42" s="122" t="e">
        <f>VLOOKUP(Table257519913140106110151155170178180[[#This Row],[PEG]],Table1016[#All],3,FALSE)</f>
        <v>#N/A</v>
      </c>
    </row>
    <row r="43" spans="1:5">
      <c r="A43" s="114">
        <v>36</v>
      </c>
      <c r="B43" s="110" t="s">
        <v>115</v>
      </c>
      <c r="C43" s="105" t="e">
        <f>VLOOKUP(Table257519913140106110151155170178180[[#This Row],[PEG]],Table1016[#All],2,FALSE)</f>
        <v>#N/A</v>
      </c>
      <c r="D43" s="111"/>
      <c r="E43" s="122" t="e">
        <f>VLOOKUP(Table257519913140106110151155170178180[[#This Row],[PEG]],Table1016[#All],3,FALSE)</f>
        <v>#N/A</v>
      </c>
    </row>
    <row r="44" spans="1:5">
      <c r="A44" s="114">
        <v>37</v>
      </c>
      <c r="B44" s="110" t="s">
        <v>13</v>
      </c>
      <c r="C44" s="17" t="s">
        <v>13</v>
      </c>
      <c r="D44" s="111"/>
      <c r="E44" s="31"/>
    </row>
  </sheetData>
  <mergeCells count="1">
    <mergeCell ref="A1:B1"/>
  </mergeCells>
  <conditionalFormatting sqref="B8:B18">
    <cfRule type="containsText" dxfId="1773" priority="1" operator="containsText" text="Hear">
      <formula>NOT(ISERROR(SEARCH("Hear",B8)))</formula>
    </cfRule>
  </conditionalFormatting>
  <conditionalFormatting sqref="B30">
    <cfRule type="containsText" dxfId="1772" priority="4" operator="containsText" text="Hear">
      <formula>NOT(ISERROR(SEARCH("Hear",B30)))</formula>
    </cfRule>
  </conditionalFormatting>
  <conditionalFormatting sqref="B43:B44">
    <cfRule type="containsText" dxfId="1771" priority="8" operator="containsText" text="Hear">
      <formula>NOT(ISERROR(SEARCH("Hear",B43)))</formula>
    </cfRule>
  </conditionalFormatting>
  <conditionalFormatting sqref="E44">
    <cfRule type="containsText" dxfId="1770" priority="6" operator="containsText" text="WEB SERVICE">
      <formula>NOT(ISERROR(SEARCH("WEB SERVICE",E44)))</formula>
    </cfRule>
    <cfRule type="containsText" dxfId="1769" priority="7" operator="containsText" text="DB">
      <formula>NOT(ISERROR(SEARCH("DB",E44)))</formula>
    </cfRule>
  </conditionalFormatting>
  <conditionalFormatting sqref="C44">
    <cfRule type="expression" dxfId="1768" priority="9">
      <formula>$B44="HANGUP"</formula>
    </cfRule>
    <cfRule type="expression" dxfId="1767" priority="9">
      <formula>$B44="Dial"</formula>
    </cfRule>
  </conditionalFormatting>
  <conditionalFormatting sqref="C44">
    <cfRule type="expression" dxfId="1766" priority="3">
      <formula>$B44="Speak"</formula>
    </cfRule>
  </conditionalFormatting>
  <conditionalFormatting sqref="B36:B38 B40:B41">
    <cfRule type="containsText" dxfId="1765" priority="2" operator="containsText" text="Hear">
      <formula>NOT(ISERROR(SEARCH("Hear",B36)))</formula>
    </cfRule>
  </conditionalFormatting>
  <conditionalFormatting sqref="B19:B29 B31:B35 B42">
    <cfRule type="containsText" dxfId="1764" priority="5" operator="containsText" text="Hear">
      <formula>NOT(ISERROR(SEARCH("Hear",B19)))</formula>
    </cfRule>
  </conditionalFormatting>
  <hyperlinks>
    <hyperlink ref="A1" location="'Test Case Overview'!A1" display="Return to Test Case Overview" xr:uid="{00000000-0004-0000-88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0" id="{F8D849E6-E774-4BE1-BCE2-91CB98760C46}">
            <xm:f>'TC1'!$B8="Dial"</xm:f>
            <x14:dxf>
              <font>
                <b/>
                <i val="0"/>
                <color rgb="FFFF0000"/>
              </font>
            </x14:dxf>
          </x14:cfRule>
          <x14:cfRule type="expression" priority="10" id="{74E4FF3C-3B56-4B02-B6F5-7E1450406339}">
            <xm:f>'TC1'!$B8="HANGUP"</xm:f>
            <x14:dxf>
              <font>
                <b/>
                <i val="0"/>
              </font>
            </x14:dxf>
          </x14:cfRule>
          <xm:sqref>C8</xm:sqref>
        </x14:conditionalFormatting>
        <x14:conditionalFormatting xmlns:xm="http://schemas.microsoft.com/office/excel/2006/main">
          <x14:cfRule type="expression" priority="11" id="{99D3B490-EB32-48A3-A62A-52B854DC764A}">
            <xm:f>'TC1'!$B8="Speak"</xm:f>
            <x14:dxf>
              <font>
                <b/>
                <i val="0"/>
                <color rgb="FFFF0000"/>
              </font>
            </x14:dxf>
          </x14:cfRule>
          <xm:sqref>C8</xm:sqref>
        </x14:conditionalFormatting>
        <x14:conditionalFormatting xmlns:xm="http://schemas.microsoft.com/office/excel/2006/main">
          <x14:cfRule type="containsText" priority="12" operator="containsText" text="DB" id="{1205B175-2D9A-43F5-98C6-56D3CDF1D711}">
            <xm:f>NOT(ISERROR(SEARCH("DB",'TC1'!E10)))</xm:f>
            <x14:dxf>
              <font>
                <color rgb="FF006100"/>
              </font>
              <fill>
                <patternFill>
                  <bgColor rgb="FFC6EFCE"/>
                </patternFill>
              </fill>
            </x14:dxf>
          </x14:cfRule>
          <x14:cfRule type="containsText" priority="12" operator="containsText" text="WEB SERVICE" id="{5B28F25C-4025-4A84-BC93-E1E44DC9DB07}">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containsText" priority="14" operator="containsText" text="Hear" id="{9606A06A-AE05-47BB-8D53-F60D5939DBC0}">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986" id="{F8D849E6-E774-4BE1-BCE2-91CB98760C46}">
            <xm:f>'TC1'!$B14="Dial"</xm:f>
            <x14:dxf>
              <font>
                <b/>
                <i val="0"/>
                <color rgb="FFFF0000"/>
              </font>
            </x14:dxf>
          </x14:cfRule>
          <x14:cfRule type="expression" priority="2987" id="{74E4FF3C-3B56-4B02-B6F5-7E1450406339}">
            <xm:f>'TC1'!$B14="HANGUP"</xm:f>
            <x14:dxf>
              <font>
                <b/>
                <i val="0"/>
              </font>
            </x14:dxf>
          </x14:cfRule>
          <xm:sqref>C34:C43</xm:sqref>
        </x14:conditionalFormatting>
        <x14:conditionalFormatting xmlns:xm="http://schemas.microsoft.com/office/excel/2006/main">
          <x14:cfRule type="expression" priority="2988" id="{F8D849E6-E774-4BE1-BCE2-91CB98760C46}">
            <xm:f>'TC1'!#REF!="Dial"</xm:f>
            <x14:dxf>
              <font>
                <b/>
                <i val="0"/>
                <color rgb="FFFF0000"/>
              </font>
            </x14:dxf>
          </x14:cfRule>
          <x14:cfRule type="expression" priority="2989" id="{74E4FF3C-3B56-4B02-B6F5-7E1450406339}">
            <xm:f>'TC1'!#REF!="HANGUP"</xm:f>
            <x14:dxf>
              <font>
                <b/>
                <i val="0"/>
              </font>
            </x14:dxf>
          </x14:cfRule>
          <xm:sqref>C13:C33</xm:sqref>
        </x14:conditionalFormatting>
        <x14:conditionalFormatting xmlns:xm="http://schemas.microsoft.com/office/excel/2006/main">
          <x14:cfRule type="expression" priority="2993" id="{99D3B490-EB32-48A3-A62A-52B854DC764A}">
            <xm:f>'TC1'!$B14="Speak"</xm:f>
            <x14:dxf>
              <font>
                <b/>
                <i val="0"/>
                <color rgb="FFFF0000"/>
              </font>
            </x14:dxf>
          </x14:cfRule>
          <xm:sqref>C34:C43</xm:sqref>
        </x14:conditionalFormatting>
        <x14:conditionalFormatting xmlns:xm="http://schemas.microsoft.com/office/excel/2006/main">
          <x14:cfRule type="expression" priority="2994" id="{99D3B490-EB32-48A3-A62A-52B854DC764A}">
            <xm:f>'TC1'!#REF!="Speak"</xm:f>
            <x14:dxf>
              <font>
                <b/>
                <i val="0"/>
                <color rgb="FFFF0000"/>
              </font>
            </x14:dxf>
          </x14:cfRule>
          <xm:sqref>C13:C33</xm:sqref>
        </x14:conditionalFormatting>
        <x14:conditionalFormatting xmlns:xm="http://schemas.microsoft.com/office/excel/2006/main">
          <x14:cfRule type="containsText" priority="2998" operator="containsText" text="DB" id="{1205B175-2D9A-43F5-98C6-56D3CDF1D711}">
            <xm:f>NOT(ISERROR(SEARCH("DB",'TC1'!E14)))</xm:f>
            <x14:dxf>
              <font>
                <color rgb="FF006100"/>
              </font>
              <fill>
                <patternFill>
                  <bgColor rgb="FFC6EFCE"/>
                </patternFill>
              </fill>
            </x14:dxf>
          </x14:cfRule>
          <x14:cfRule type="containsText" priority="2999" operator="containsText" text="WEB SERVICE" id="{5B28F25C-4025-4A84-BC93-E1E44DC9DB07}">
            <xm:f>NOT(ISERROR(SEARCH("WEB SERVICE",'TC1'!E14)))</xm:f>
            <x14:dxf>
              <font>
                <color rgb="FF9C0006"/>
              </font>
              <fill>
                <patternFill>
                  <bgColor rgb="FFFFC7CE"/>
                </patternFill>
              </fill>
            </x14:dxf>
          </x14:cfRule>
          <xm:sqref>E34:E43</xm:sqref>
        </x14:conditionalFormatting>
        <x14:conditionalFormatting xmlns:xm="http://schemas.microsoft.com/office/excel/2006/main">
          <x14:cfRule type="containsText" priority="3000" operator="containsText" text="DB" id="{1205B175-2D9A-43F5-98C6-56D3CDF1D711}">
            <xm:f>NOT(ISERROR(SEARCH("DB",'TC1'!#REF!)))</xm:f>
            <x14:dxf>
              <font>
                <color rgb="FF006100"/>
              </font>
              <fill>
                <patternFill>
                  <bgColor rgb="FFC6EFCE"/>
                </patternFill>
              </fill>
            </x14:dxf>
          </x14:cfRule>
          <x14:cfRule type="containsText" priority="3001" operator="containsText" text="WEB SERVICE" id="{5B28F25C-4025-4A84-BC93-E1E44DC9DB07}">
            <xm:f>NOT(ISERROR(SEARCH("WEB SERVICE",'TC1'!#REF!)))</xm:f>
            <x14:dxf>
              <font>
                <color rgb="FF9C0006"/>
              </font>
              <fill>
                <patternFill>
                  <bgColor rgb="FFFFC7CE"/>
                </patternFill>
              </fill>
            </x14:dxf>
          </x14:cfRule>
          <xm:sqref>E13:E33</xm:sqref>
        </x14:conditionalFormatting>
        <x14:conditionalFormatting xmlns:xm="http://schemas.microsoft.com/office/excel/2006/main">
          <x14:cfRule type="expression" priority="4446" id="{F8D849E6-E774-4BE1-BCE2-91CB98760C46}">
            <xm:f>'TC1'!$B10="Dial"</xm:f>
            <x14:dxf>
              <font>
                <b/>
                <i val="0"/>
                <color rgb="FFFF0000"/>
              </font>
            </x14:dxf>
          </x14:cfRule>
          <x14:cfRule type="expression" priority="4447" id="{74E4FF3C-3B56-4B02-B6F5-7E1450406339}">
            <xm:f>'TC1'!$B10="HANGUP"</xm:f>
            <x14:dxf>
              <font>
                <b/>
                <i val="0"/>
              </font>
            </x14:dxf>
          </x14:cfRule>
          <xm:sqref>C9:C12</xm:sqref>
        </x14:conditionalFormatting>
        <x14:conditionalFormatting xmlns:xm="http://schemas.microsoft.com/office/excel/2006/main">
          <x14:cfRule type="expression" priority="4449" id="{99D3B490-EB32-48A3-A62A-52B854DC764A}">
            <xm:f>'TC1'!$B10="Speak"</xm:f>
            <x14:dxf>
              <font>
                <b/>
                <i val="0"/>
                <color rgb="FFFF0000"/>
              </font>
            </x14:dxf>
          </x14:cfRule>
          <xm:sqref>C9:C12</xm:sqref>
        </x14:conditionalFormatting>
        <x14:conditionalFormatting xmlns:xm="http://schemas.microsoft.com/office/excel/2006/main">
          <x14:cfRule type="containsText" priority="6318" operator="containsText" text="Hear" id="{93CA8488-7BFB-4286-B175-88A34B7D9A52}">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sheetPr codeName="Sheet139"/>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TC137</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VLOOKUP(Table257519913140106110151155170178182[[#This Row],[PEG]],Table1016[#All],2,FALSE)</f>
        <v>#N/A</v>
      </c>
      <c r="D9" s="125"/>
      <c r="E9" s="122" t="e">
        <f>VLOOKUP(Table257519913140106110151155170178182[[#This Row],[PEG]],Table1016[#All],3,FALSE)</f>
        <v>#N/A</v>
      </c>
    </row>
    <row r="10" spans="1:5">
      <c r="A10" s="114">
        <v>3</v>
      </c>
      <c r="B10" s="110" t="s">
        <v>115</v>
      </c>
      <c r="C10" s="105" t="e">
        <f>VLOOKUP(Table257519913140106110151155170178182[[#This Row],[PEG]],Table1016[#All],2,FALSE)</f>
        <v>#N/A</v>
      </c>
      <c r="D10" s="125"/>
      <c r="E10" s="122" t="e">
        <f>VLOOKUP(Table257519913140106110151155170178182[[#This Row],[PEG]],Table1016[#All],3,FALSE)</f>
        <v>#N/A</v>
      </c>
    </row>
    <row r="11" spans="1:5">
      <c r="A11" s="114">
        <v>4</v>
      </c>
      <c r="B11" s="110" t="s">
        <v>115</v>
      </c>
      <c r="C11" s="105" t="e">
        <f>VLOOKUP(Table257519913140106110151155170178182[[#This Row],[PEG]],Table1016[#All],2,FALSE)</f>
        <v>#N/A</v>
      </c>
      <c r="D11" s="125"/>
      <c r="E11" s="122" t="e">
        <f>VLOOKUP(Table257519913140106110151155170178182[[#This Row],[PEG]],Table1016[#All],3,FALSE)</f>
        <v>#N/A</v>
      </c>
    </row>
    <row r="12" spans="1:5">
      <c r="A12" s="114">
        <v>5</v>
      </c>
      <c r="B12" s="110" t="s">
        <v>114</v>
      </c>
      <c r="C12" s="105" t="e">
        <f>VLOOKUP(Table257519913140106110151155170178182[[#This Row],[PEG]],Table1016[#All],2,FALSE)</f>
        <v>#N/A</v>
      </c>
      <c r="D12" s="125"/>
      <c r="E12" s="122" t="e">
        <f>VLOOKUP(Table257519913140106110151155170178182[[#This Row],[PEG]],Table1016[#All],3,FALSE)</f>
        <v>#N/A</v>
      </c>
    </row>
    <row r="13" spans="1:5">
      <c r="A13" s="114">
        <v>6</v>
      </c>
      <c r="B13" s="110" t="s">
        <v>115</v>
      </c>
      <c r="C13" s="105" t="e">
        <f>VLOOKUP(Table257519913140106110151155170178182[[#This Row],[PEG]],Table1016[#All],2,FALSE)</f>
        <v>#N/A</v>
      </c>
      <c r="D13" s="125"/>
      <c r="E13" s="122" t="e">
        <f>VLOOKUP(Table257519913140106110151155170178182[[#This Row],[PEG]],Table1016[#All],3,FALSE)</f>
        <v>#N/A</v>
      </c>
    </row>
    <row r="14" spans="1:5">
      <c r="A14" s="114">
        <v>7</v>
      </c>
      <c r="B14" s="110" t="s">
        <v>114</v>
      </c>
      <c r="C14" s="105" t="e">
        <f>VLOOKUP(Table257519913140106110151155170178182[[#This Row],[PEG]],Table1016[#All],2,FALSE)</f>
        <v>#N/A</v>
      </c>
      <c r="D14" s="125"/>
      <c r="E14" s="122" t="e">
        <f>VLOOKUP(Table257519913140106110151155170178182[[#This Row],[PEG]],Table1016[#All],3,FALSE)</f>
        <v>#N/A</v>
      </c>
    </row>
    <row r="15" spans="1:5">
      <c r="A15" s="114">
        <v>8</v>
      </c>
      <c r="B15" s="110" t="s">
        <v>115</v>
      </c>
      <c r="C15" s="105" t="e">
        <f>VLOOKUP(Table257519913140106110151155170178182[[#This Row],[PEG]],Table1016[#All],2,FALSE)</f>
        <v>#N/A</v>
      </c>
      <c r="D15" s="112"/>
      <c r="E15" s="122" t="e">
        <f>VLOOKUP(Table257519913140106110151155170178182[[#This Row],[PEG]],Table1016[#All],3,FALSE)</f>
        <v>#N/A</v>
      </c>
    </row>
    <row r="16" spans="1:5">
      <c r="A16" s="114">
        <v>9</v>
      </c>
      <c r="B16" s="110" t="s">
        <v>12</v>
      </c>
      <c r="C16" s="105" t="e">
        <f>VLOOKUP(Table257519913140106110151155170178182[[#This Row],[PEG]],Table1016[#All],2,FALSE)</f>
        <v>#N/A</v>
      </c>
      <c r="D16" s="112"/>
      <c r="E16" s="122" t="e">
        <f>VLOOKUP(Table257519913140106110151155170178182[[#This Row],[PEG]],Table1016[#All],3,FALSE)</f>
        <v>#N/A</v>
      </c>
    </row>
    <row r="17" spans="1:5">
      <c r="A17" s="114">
        <v>10</v>
      </c>
      <c r="B17" s="110" t="s">
        <v>12</v>
      </c>
      <c r="C17" s="105" t="e">
        <f>VLOOKUP(Table257519913140106110151155170178182[[#This Row],[PEG]],Table1016[#All],2,FALSE)</f>
        <v>#N/A</v>
      </c>
      <c r="D17" s="113"/>
      <c r="E17" s="122" t="e">
        <f>VLOOKUP(Table257519913140106110151155170178182[[#This Row],[PEG]],Table1016[#All],3,FALSE)</f>
        <v>#N/A</v>
      </c>
    </row>
    <row r="18" spans="1:5">
      <c r="A18" s="114">
        <v>11</v>
      </c>
      <c r="B18" s="110" t="s">
        <v>115</v>
      </c>
      <c r="C18" s="105" t="e">
        <f>VLOOKUP(Table257519913140106110151155170178182[[#This Row],[PEG]],Table1016[#All],2,FALSE)</f>
        <v>#N/A</v>
      </c>
      <c r="D18" s="113"/>
      <c r="E18" s="122" t="e">
        <f>VLOOKUP(Table257519913140106110151155170178182[[#This Row],[PEG]],Table1016[#All],3,FALSE)</f>
        <v>#N/A</v>
      </c>
    </row>
    <row r="19" spans="1:5">
      <c r="A19" s="114">
        <v>12</v>
      </c>
      <c r="B19" s="110" t="s">
        <v>115</v>
      </c>
      <c r="C19" s="105" t="e">
        <f>VLOOKUP(Table257519913140106110151155170178182[[#This Row],[PEG]],Table1016[#All],2,FALSE)</f>
        <v>#N/A</v>
      </c>
      <c r="D19" s="113"/>
      <c r="E19" s="122" t="e">
        <f>VLOOKUP(Table257519913140106110151155170178182[[#This Row],[PEG]],Table1016[#All],3,FALSE)</f>
        <v>#N/A</v>
      </c>
    </row>
    <row r="20" spans="1:5">
      <c r="A20" s="114">
        <v>13</v>
      </c>
      <c r="B20" s="110" t="s">
        <v>114</v>
      </c>
      <c r="C20" s="105" t="e">
        <f>VLOOKUP(Table257519913140106110151155170178182[[#This Row],[PEG]],Table1016[#All],2,FALSE)</f>
        <v>#N/A</v>
      </c>
      <c r="D20" s="113"/>
      <c r="E20" s="122" t="e">
        <f>VLOOKUP(Table257519913140106110151155170178182[[#This Row],[PEG]],Table1016[#All],3,FALSE)</f>
        <v>#N/A</v>
      </c>
    </row>
    <row r="21" spans="1:5">
      <c r="A21" s="114">
        <v>14</v>
      </c>
      <c r="B21" s="110" t="s">
        <v>12</v>
      </c>
      <c r="C21" s="105" t="e">
        <f>VLOOKUP(Table257519913140106110151155170178182[[#This Row],[PEG]],Table1016[#All],2,FALSE)</f>
        <v>#N/A</v>
      </c>
      <c r="D21" s="113"/>
      <c r="E21" s="122" t="e">
        <f>VLOOKUP(Table257519913140106110151155170178182[[#This Row],[PEG]],Table1016[#All],3,FALSE)</f>
        <v>#N/A</v>
      </c>
    </row>
    <row r="22" spans="1:5">
      <c r="A22" s="114">
        <v>15</v>
      </c>
      <c r="B22" s="110" t="s">
        <v>12</v>
      </c>
      <c r="C22" s="105" t="e">
        <f>VLOOKUP(Table257519913140106110151155170178182[[#This Row],[PEG]],Table1016[#All],2,FALSE)</f>
        <v>#N/A</v>
      </c>
      <c r="D22" s="113"/>
      <c r="E22" s="122" t="e">
        <f>VLOOKUP(Table257519913140106110151155170178182[[#This Row],[PEG]],Table1016[#All],3,FALSE)</f>
        <v>#N/A</v>
      </c>
    </row>
    <row r="23" spans="1:5">
      <c r="A23" s="114">
        <v>16</v>
      </c>
      <c r="B23" s="110" t="s">
        <v>115</v>
      </c>
      <c r="C23" s="105" t="e">
        <f>VLOOKUP(Table257519913140106110151155170178182[[#This Row],[PEG]],Table1016[#All],2,FALSE)</f>
        <v>#N/A</v>
      </c>
      <c r="D23" s="113"/>
      <c r="E23" s="122" t="e">
        <f>VLOOKUP(Table257519913140106110151155170178182[[#This Row],[PEG]],Table1016[#All],3,FALSE)</f>
        <v>#N/A</v>
      </c>
    </row>
    <row r="24" spans="1:5">
      <c r="A24" s="114">
        <v>17</v>
      </c>
      <c r="B24" s="110" t="s">
        <v>114</v>
      </c>
      <c r="C24" s="105" t="e">
        <f>VLOOKUP(Table257519913140106110151155170178182[[#This Row],[PEG]],Table1016[#All],2,FALSE)</f>
        <v>#N/A</v>
      </c>
      <c r="D24" s="113"/>
      <c r="E24" s="122" t="e">
        <f>VLOOKUP(Table257519913140106110151155170178182[[#This Row],[PEG]],Table1016[#All],3,FALSE)</f>
        <v>#N/A</v>
      </c>
    </row>
    <row r="25" spans="1:5">
      <c r="A25" s="114">
        <v>18</v>
      </c>
      <c r="B25" s="110" t="s">
        <v>12</v>
      </c>
      <c r="C25" s="105" t="e">
        <f>VLOOKUP(Table257519913140106110151155170178182[[#This Row],[PEG]],Table1016[#All],2,FALSE)</f>
        <v>#N/A</v>
      </c>
      <c r="D25" s="113"/>
      <c r="E25" s="122" t="e">
        <f>VLOOKUP(Table257519913140106110151155170178182[[#This Row],[PEG]],Table1016[#All],3,FALSE)</f>
        <v>#N/A</v>
      </c>
    </row>
    <row r="26" spans="1:5">
      <c r="A26" s="114">
        <v>19</v>
      </c>
      <c r="B26" s="110" t="s">
        <v>12</v>
      </c>
      <c r="C26" s="105" t="e">
        <f>VLOOKUP(Table257519913140106110151155170178182[[#This Row],[PEG]],Table1016[#All],2,FALSE)</f>
        <v>#N/A</v>
      </c>
      <c r="D26" s="113"/>
      <c r="E26" s="122" t="e">
        <f>VLOOKUP(Table257519913140106110151155170178182[[#This Row],[PEG]],Table1016[#All],3,FALSE)</f>
        <v>#N/A</v>
      </c>
    </row>
    <row r="27" spans="1:5">
      <c r="A27" s="114">
        <v>20</v>
      </c>
      <c r="B27" s="110" t="s">
        <v>115</v>
      </c>
      <c r="C27" s="105" t="e">
        <f>VLOOKUP(Table257519913140106110151155170178182[[#This Row],[PEG]],Table1016[#All],2,FALSE)</f>
        <v>#N/A</v>
      </c>
      <c r="D27" s="113"/>
      <c r="E27" s="122" t="e">
        <f>VLOOKUP(Table257519913140106110151155170178182[[#This Row],[PEG]],Table1016[#All],3,FALSE)</f>
        <v>#N/A</v>
      </c>
    </row>
    <row r="28" spans="1:5">
      <c r="A28" s="114">
        <v>21</v>
      </c>
      <c r="B28" s="110" t="s">
        <v>114</v>
      </c>
      <c r="C28" s="105" t="e">
        <f>VLOOKUP(Table257519913140106110151155170178182[[#This Row],[PEG]],Table1016[#All],2,FALSE)</f>
        <v>#N/A</v>
      </c>
      <c r="D28" s="113"/>
      <c r="E28" s="122" t="e">
        <f>VLOOKUP(Table257519913140106110151155170178182[[#This Row],[PEG]],Table1016[#All],3,FALSE)</f>
        <v>#N/A</v>
      </c>
    </row>
    <row r="29" spans="1:5">
      <c r="A29" s="114">
        <v>22</v>
      </c>
      <c r="B29" s="110" t="s">
        <v>12</v>
      </c>
      <c r="C29" s="105" t="e">
        <f>VLOOKUP(Table257519913140106110151155170178182[[#This Row],[PEG]],Table1016[#All],2,FALSE)</f>
        <v>#N/A</v>
      </c>
      <c r="D29" s="113"/>
      <c r="E29" s="122" t="e">
        <f>VLOOKUP(Table257519913140106110151155170178182[[#This Row],[PEG]],Table1016[#All],3,FALSE)</f>
        <v>#N/A</v>
      </c>
    </row>
    <row r="30" spans="1:5">
      <c r="A30" s="114">
        <v>23</v>
      </c>
      <c r="B30" s="110" t="s">
        <v>12</v>
      </c>
      <c r="C30" s="105" t="e">
        <f>VLOOKUP(Table257519913140106110151155170178182[[#This Row],[PEG]],Table1016[#All],2,FALSE)</f>
        <v>#N/A</v>
      </c>
      <c r="D30" s="113"/>
      <c r="E30" s="122" t="e">
        <f>VLOOKUP(Table257519913140106110151155170178182[[#This Row],[PEG]],Table1016[#All],3,FALSE)</f>
        <v>#N/A</v>
      </c>
    </row>
    <row r="31" spans="1:5">
      <c r="A31" s="114">
        <v>24</v>
      </c>
      <c r="B31" s="110" t="s">
        <v>115</v>
      </c>
      <c r="C31" s="105" t="e">
        <f>VLOOKUP(Table257519913140106110151155170178182[[#This Row],[PEG]],Table1016[#All],2,FALSE)</f>
        <v>#N/A</v>
      </c>
      <c r="D31" s="113"/>
      <c r="E31" s="122" t="e">
        <f>VLOOKUP(Table257519913140106110151155170178182[[#This Row],[PEG]],Table1016[#All],3,FALSE)</f>
        <v>#N/A</v>
      </c>
    </row>
    <row r="32" spans="1:5">
      <c r="A32" s="114">
        <v>25</v>
      </c>
      <c r="B32" s="110" t="s">
        <v>115</v>
      </c>
      <c r="C32" s="105" t="e">
        <f>VLOOKUP(Table257519913140106110151155170178182[[#This Row],[PEG]],Table1016[#All],2,FALSE)</f>
        <v>#N/A</v>
      </c>
      <c r="D32" s="113"/>
      <c r="E32" s="122" t="e">
        <f>VLOOKUP(Table257519913140106110151155170178182[[#This Row],[PEG]],Table1016[#All],3,FALSE)</f>
        <v>#N/A</v>
      </c>
    </row>
    <row r="33" spans="1:5">
      <c r="A33" s="114">
        <v>26</v>
      </c>
      <c r="B33" s="110" t="s">
        <v>124</v>
      </c>
      <c r="C33" s="105" t="e">
        <f>VLOOKUP(Table257519913140106110151155170178182[[#This Row],[PEG]],Table1016[#All],2,FALSE)</f>
        <v>#N/A</v>
      </c>
      <c r="D33" s="113"/>
      <c r="E33" s="122" t="e">
        <f>VLOOKUP(Table257519913140106110151155170178182[[#This Row],[PEG]],Table1016[#All],3,FALSE)</f>
        <v>#N/A</v>
      </c>
    </row>
    <row r="34" spans="1:5">
      <c r="A34" s="114">
        <v>27</v>
      </c>
      <c r="B34" s="110" t="s">
        <v>115</v>
      </c>
      <c r="C34" s="105" t="e">
        <f>VLOOKUP(Table257519913140106110151155170178182[[#This Row],[PEG]],Table1016[#All],2,FALSE)</f>
        <v>#N/A</v>
      </c>
      <c r="D34" s="113"/>
      <c r="E34" s="122" t="e">
        <f>VLOOKUP(Table257519913140106110151155170178182[[#This Row],[PEG]],Table1016[#All],3,FALSE)</f>
        <v>#N/A</v>
      </c>
    </row>
    <row r="35" spans="1:5">
      <c r="A35" s="114">
        <v>28</v>
      </c>
      <c r="B35" s="110" t="s">
        <v>124</v>
      </c>
      <c r="C35" s="105" t="e">
        <f>VLOOKUP(Table257519913140106110151155170178182[[#This Row],[PEG]],Table1016[#All],2,FALSE)</f>
        <v>#N/A</v>
      </c>
      <c r="D35" s="113"/>
      <c r="E35" s="122" t="e">
        <f>VLOOKUP(Table257519913140106110151155170178182[[#This Row],[PEG]],Table1016[#All],3,FALSE)</f>
        <v>#N/A</v>
      </c>
    </row>
    <row r="36" spans="1:5">
      <c r="A36" s="114">
        <v>29</v>
      </c>
      <c r="B36" s="110" t="s">
        <v>115</v>
      </c>
      <c r="C36" s="105" t="e">
        <f>VLOOKUP(Table257519913140106110151155170178182[[#This Row],[PEG]],Table1016[#All],2,FALSE)</f>
        <v>#N/A</v>
      </c>
      <c r="D36" s="113"/>
      <c r="E36" s="122" t="e">
        <f>VLOOKUP(Table257519913140106110151155170178182[[#This Row],[PEG]],Table1016[#All],3,FALSE)</f>
        <v>#N/A</v>
      </c>
    </row>
    <row r="37" spans="1:5">
      <c r="A37" s="114">
        <v>30</v>
      </c>
      <c r="B37" s="110" t="s">
        <v>12</v>
      </c>
      <c r="C37" s="105" t="e">
        <f>VLOOKUP(Table257519913140106110151155170178182[[#This Row],[PEG]],Table1016[#All],2,FALSE)</f>
        <v>#N/A</v>
      </c>
      <c r="D37" s="113"/>
      <c r="E37" s="122" t="e">
        <f>VLOOKUP(Table257519913140106110151155170178182[[#This Row],[PEG]],Table1016[#All],3,FALSE)</f>
        <v>#N/A</v>
      </c>
    </row>
    <row r="38" spans="1:5">
      <c r="A38" s="114">
        <v>31</v>
      </c>
      <c r="B38" s="110" t="s">
        <v>12</v>
      </c>
      <c r="C38" s="105" t="e">
        <f>VLOOKUP(Table257519913140106110151155170178182[[#This Row],[PEG]],Table1016[#All],2,FALSE)</f>
        <v>#N/A</v>
      </c>
      <c r="D38" s="113"/>
      <c r="E38" s="122" t="e">
        <f>VLOOKUP(Table257519913140106110151155170178182[[#This Row],[PEG]],Table1016[#All],3,FALSE)</f>
        <v>#N/A</v>
      </c>
    </row>
    <row r="39" spans="1:5">
      <c r="A39" s="114">
        <v>32</v>
      </c>
      <c r="B39" s="110" t="s">
        <v>12</v>
      </c>
      <c r="C39" s="105" t="e">
        <f>VLOOKUP(Table257519913140106110151155170178182[[#This Row],[PEG]],Table1016[#All],2,FALSE)</f>
        <v>#N/A</v>
      </c>
      <c r="D39" s="113"/>
      <c r="E39" s="122" t="e">
        <f>VLOOKUP(Table257519913140106110151155170178182[[#This Row],[PEG]],Table1016[#All],3,FALSE)</f>
        <v>#N/A</v>
      </c>
    </row>
    <row r="40" spans="1:5">
      <c r="A40" s="114">
        <v>33</v>
      </c>
      <c r="B40" s="110" t="s">
        <v>12</v>
      </c>
      <c r="C40" s="105" t="e">
        <f>VLOOKUP(Table257519913140106110151155170178182[[#This Row],[PEG]],Table1016[#All],2,FALSE)</f>
        <v>#N/A</v>
      </c>
      <c r="D40" s="113"/>
      <c r="E40" s="122" t="e">
        <f>VLOOKUP(Table257519913140106110151155170178182[[#This Row],[PEG]],Table1016[#All],3,FALSE)</f>
        <v>#N/A</v>
      </c>
    </row>
    <row r="41" spans="1:5">
      <c r="A41" s="114">
        <v>34</v>
      </c>
      <c r="B41" s="110" t="s">
        <v>115</v>
      </c>
      <c r="C41" s="105" t="e">
        <f>VLOOKUP(Table257519913140106110151155170178182[[#This Row],[PEG]],Table1016[#All],2,FALSE)</f>
        <v>#N/A</v>
      </c>
      <c r="D41" s="113"/>
      <c r="E41" s="122" t="e">
        <f>VLOOKUP(Table257519913140106110151155170178182[[#This Row],[PEG]],Table1016[#All],3,FALSE)</f>
        <v>#N/A</v>
      </c>
    </row>
    <row r="42" spans="1:5">
      <c r="A42" s="114">
        <v>35</v>
      </c>
      <c r="B42" s="110" t="s">
        <v>12</v>
      </c>
      <c r="C42" s="105" t="e">
        <f>VLOOKUP(Table257519913140106110151155170178182[[#This Row],[PEG]],Table1016[#All],2,FALSE)</f>
        <v>#N/A</v>
      </c>
      <c r="D42" s="111"/>
      <c r="E42" s="122" t="e">
        <f>VLOOKUP(Table257519913140106110151155170178182[[#This Row],[PEG]],Table1016[#All],3,FALSE)</f>
        <v>#N/A</v>
      </c>
    </row>
    <row r="43" spans="1:5">
      <c r="A43" s="114">
        <v>36</v>
      </c>
      <c r="B43" s="110" t="s">
        <v>115</v>
      </c>
      <c r="C43" s="105" t="e">
        <f>VLOOKUP(Table257519913140106110151155170178182[[#This Row],[PEG]],Table1016[#All],2,FALSE)</f>
        <v>#N/A</v>
      </c>
      <c r="D43" s="111"/>
      <c r="E43" s="122" t="e">
        <f>VLOOKUP(Table257519913140106110151155170178182[[#This Row],[PEG]],Table1016[#All],3,FALSE)</f>
        <v>#N/A</v>
      </c>
    </row>
    <row r="44" spans="1:5">
      <c r="A44" s="114">
        <v>37</v>
      </c>
      <c r="B44" s="110" t="s">
        <v>13</v>
      </c>
      <c r="C44" s="17" t="s">
        <v>13</v>
      </c>
      <c r="D44" s="111"/>
      <c r="E44" s="31"/>
    </row>
  </sheetData>
  <mergeCells count="1">
    <mergeCell ref="A1:B1"/>
  </mergeCells>
  <conditionalFormatting sqref="B8:B18">
    <cfRule type="containsText" dxfId="1734" priority="1" operator="containsText" text="Hear">
      <formula>NOT(ISERROR(SEARCH("Hear",B8)))</formula>
    </cfRule>
  </conditionalFormatting>
  <conditionalFormatting sqref="B30">
    <cfRule type="containsText" dxfId="1733" priority="4" operator="containsText" text="Hear">
      <formula>NOT(ISERROR(SEARCH("Hear",B30)))</formula>
    </cfRule>
  </conditionalFormatting>
  <conditionalFormatting sqref="B43:B44">
    <cfRule type="containsText" dxfId="1732" priority="8" operator="containsText" text="Hear">
      <formula>NOT(ISERROR(SEARCH("Hear",B43)))</formula>
    </cfRule>
  </conditionalFormatting>
  <conditionalFormatting sqref="E44">
    <cfRule type="containsText" dxfId="1731" priority="6" operator="containsText" text="WEB SERVICE">
      <formula>NOT(ISERROR(SEARCH("WEB SERVICE",E44)))</formula>
    </cfRule>
    <cfRule type="containsText" dxfId="1730" priority="7" operator="containsText" text="DB">
      <formula>NOT(ISERROR(SEARCH("DB",E44)))</formula>
    </cfRule>
  </conditionalFormatting>
  <conditionalFormatting sqref="C44">
    <cfRule type="expression" dxfId="1729" priority="9">
      <formula>$B44="HANGUP"</formula>
    </cfRule>
    <cfRule type="expression" dxfId="1728" priority="9">
      <formula>$B44="Dial"</formula>
    </cfRule>
  </conditionalFormatting>
  <conditionalFormatting sqref="C44">
    <cfRule type="expression" dxfId="1727" priority="3">
      <formula>$B44="Speak"</formula>
    </cfRule>
  </conditionalFormatting>
  <conditionalFormatting sqref="B36:B38 B40:B41">
    <cfRule type="containsText" dxfId="1726" priority="2" operator="containsText" text="Hear">
      <formula>NOT(ISERROR(SEARCH("Hear",B36)))</formula>
    </cfRule>
  </conditionalFormatting>
  <conditionalFormatting sqref="B19:B29 B31:B35 B42">
    <cfRule type="containsText" dxfId="1725" priority="5" operator="containsText" text="Hear">
      <formula>NOT(ISERROR(SEARCH("Hear",B19)))</formula>
    </cfRule>
  </conditionalFormatting>
  <hyperlinks>
    <hyperlink ref="A1" location="'Test Case Overview'!A1" display="Return to Test Case Overview" xr:uid="{00000000-0004-0000-89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0" id="{493983C1-E0B4-41D2-86DF-9B2D21A8991E}">
            <xm:f>'TC1'!$B8="Dial"</xm:f>
            <x14:dxf>
              <font>
                <b/>
                <i val="0"/>
                <color rgb="FFFF0000"/>
              </font>
            </x14:dxf>
          </x14:cfRule>
          <x14:cfRule type="expression" priority="10" id="{5022914F-C06B-4DE5-AC57-9B1FA8FE74CA}">
            <xm:f>'TC1'!$B8="HANGUP"</xm:f>
            <x14:dxf>
              <font>
                <b/>
                <i val="0"/>
              </font>
            </x14:dxf>
          </x14:cfRule>
          <xm:sqref>C8</xm:sqref>
        </x14:conditionalFormatting>
        <x14:conditionalFormatting xmlns:xm="http://schemas.microsoft.com/office/excel/2006/main">
          <x14:cfRule type="expression" priority="11" id="{9626C05E-8F5E-4F20-BB19-9B6263824575}">
            <xm:f>'TC1'!$B8="Speak"</xm:f>
            <x14:dxf>
              <font>
                <b/>
                <i val="0"/>
                <color rgb="FFFF0000"/>
              </font>
            </x14:dxf>
          </x14:cfRule>
          <xm:sqref>C8</xm:sqref>
        </x14:conditionalFormatting>
        <x14:conditionalFormatting xmlns:xm="http://schemas.microsoft.com/office/excel/2006/main">
          <x14:cfRule type="containsText" priority="12" operator="containsText" text="DB" id="{C3F3642F-B9BA-4D27-9C4E-C42F77CB9C21}">
            <xm:f>NOT(ISERROR(SEARCH("DB",'TC1'!E10)))</xm:f>
            <x14:dxf>
              <font>
                <color rgb="FF006100"/>
              </font>
              <fill>
                <patternFill>
                  <bgColor rgb="FFC6EFCE"/>
                </patternFill>
              </fill>
            </x14:dxf>
          </x14:cfRule>
          <x14:cfRule type="containsText" priority="12" operator="containsText" text="WEB SERVICE" id="{5D08F8EA-471E-45A5-9303-08B9B73F93FE}">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containsText" priority="14" operator="containsText" text="Hear" id="{98B03E04-4DD8-46CD-91F0-7C310C7B78F9}">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006" id="{493983C1-E0B4-41D2-86DF-9B2D21A8991E}">
            <xm:f>'TC1'!$B14="Dial"</xm:f>
            <x14:dxf>
              <font>
                <b/>
                <i val="0"/>
                <color rgb="FFFF0000"/>
              </font>
            </x14:dxf>
          </x14:cfRule>
          <x14:cfRule type="expression" priority="3007" id="{5022914F-C06B-4DE5-AC57-9B1FA8FE74CA}">
            <xm:f>'TC1'!$B14="HANGUP"</xm:f>
            <x14:dxf>
              <font>
                <b/>
                <i val="0"/>
              </font>
            </x14:dxf>
          </x14:cfRule>
          <xm:sqref>C34:C43</xm:sqref>
        </x14:conditionalFormatting>
        <x14:conditionalFormatting xmlns:xm="http://schemas.microsoft.com/office/excel/2006/main">
          <x14:cfRule type="expression" priority="3008" id="{493983C1-E0B4-41D2-86DF-9B2D21A8991E}">
            <xm:f>'TC1'!#REF!="Dial"</xm:f>
            <x14:dxf>
              <font>
                <b/>
                <i val="0"/>
                <color rgb="FFFF0000"/>
              </font>
            </x14:dxf>
          </x14:cfRule>
          <x14:cfRule type="expression" priority="3009" id="{5022914F-C06B-4DE5-AC57-9B1FA8FE74CA}">
            <xm:f>'TC1'!#REF!="HANGUP"</xm:f>
            <x14:dxf>
              <font>
                <b/>
                <i val="0"/>
              </font>
            </x14:dxf>
          </x14:cfRule>
          <xm:sqref>C13:C33</xm:sqref>
        </x14:conditionalFormatting>
        <x14:conditionalFormatting xmlns:xm="http://schemas.microsoft.com/office/excel/2006/main">
          <x14:cfRule type="expression" priority="3013" id="{9626C05E-8F5E-4F20-BB19-9B6263824575}">
            <xm:f>'TC1'!$B14="Speak"</xm:f>
            <x14:dxf>
              <font>
                <b/>
                <i val="0"/>
                <color rgb="FFFF0000"/>
              </font>
            </x14:dxf>
          </x14:cfRule>
          <xm:sqref>C34:C43</xm:sqref>
        </x14:conditionalFormatting>
        <x14:conditionalFormatting xmlns:xm="http://schemas.microsoft.com/office/excel/2006/main">
          <x14:cfRule type="expression" priority="3014" id="{9626C05E-8F5E-4F20-BB19-9B6263824575}">
            <xm:f>'TC1'!#REF!="Speak"</xm:f>
            <x14:dxf>
              <font>
                <b/>
                <i val="0"/>
                <color rgb="FFFF0000"/>
              </font>
            </x14:dxf>
          </x14:cfRule>
          <xm:sqref>C13:C33</xm:sqref>
        </x14:conditionalFormatting>
        <x14:conditionalFormatting xmlns:xm="http://schemas.microsoft.com/office/excel/2006/main">
          <x14:cfRule type="containsText" priority="3018" operator="containsText" text="DB" id="{C3F3642F-B9BA-4D27-9C4E-C42F77CB9C21}">
            <xm:f>NOT(ISERROR(SEARCH("DB",'TC1'!E14)))</xm:f>
            <x14:dxf>
              <font>
                <color rgb="FF006100"/>
              </font>
              <fill>
                <patternFill>
                  <bgColor rgb="FFC6EFCE"/>
                </patternFill>
              </fill>
            </x14:dxf>
          </x14:cfRule>
          <x14:cfRule type="containsText" priority="3019" operator="containsText" text="WEB SERVICE" id="{5D08F8EA-471E-45A5-9303-08B9B73F93FE}">
            <xm:f>NOT(ISERROR(SEARCH("WEB SERVICE",'TC1'!E14)))</xm:f>
            <x14:dxf>
              <font>
                <color rgb="FF9C0006"/>
              </font>
              <fill>
                <patternFill>
                  <bgColor rgb="FFFFC7CE"/>
                </patternFill>
              </fill>
            </x14:dxf>
          </x14:cfRule>
          <xm:sqref>E34:E43</xm:sqref>
        </x14:conditionalFormatting>
        <x14:conditionalFormatting xmlns:xm="http://schemas.microsoft.com/office/excel/2006/main">
          <x14:cfRule type="containsText" priority="3020" operator="containsText" text="DB" id="{C3F3642F-B9BA-4D27-9C4E-C42F77CB9C21}">
            <xm:f>NOT(ISERROR(SEARCH("DB",'TC1'!#REF!)))</xm:f>
            <x14:dxf>
              <font>
                <color rgb="FF006100"/>
              </font>
              <fill>
                <patternFill>
                  <bgColor rgb="FFC6EFCE"/>
                </patternFill>
              </fill>
            </x14:dxf>
          </x14:cfRule>
          <x14:cfRule type="containsText" priority="3021" operator="containsText" text="WEB SERVICE" id="{5D08F8EA-471E-45A5-9303-08B9B73F93FE}">
            <xm:f>NOT(ISERROR(SEARCH("WEB SERVICE",'TC1'!#REF!)))</xm:f>
            <x14:dxf>
              <font>
                <color rgb="FF9C0006"/>
              </font>
              <fill>
                <patternFill>
                  <bgColor rgb="FFFFC7CE"/>
                </patternFill>
              </fill>
            </x14:dxf>
          </x14:cfRule>
          <xm:sqref>E13:E33</xm:sqref>
        </x14:conditionalFormatting>
        <x14:conditionalFormatting xmlns:xm="http://schemas.microsoft.com/office/excel/2006/main">
          <x14:cfRule type="expression" priority="4454" id="{493983C1-E0B4-41D2-86DF-9B2D21A8991E}">
            <xm:f>'TC1'!$B10="Dial"</xm:f>
            <x14:dxf>
              <font>
                <b/>
                <i val="0"/>
                <color rgb="FFFF0000"/>
              </font>
            </x14:dxf>
          </x14:cfRule>
          <x14:cfRule type="expression" priority="4455" id="{5022914F-C06B-4DE5-AC57-9B1FA8FE74CA}">
            <xm:f>'TC1'!$B10="HANGUP"</xm:f>
            <x14:dxf>
              <font>
                <b/>
                <i val="0"/>
              </font>
            </x14:dxf>
          </x14:cfRule>
          <xm:sqref>C9:C12</xm:sqref>
        </x14:conditionalFormatting>
        <x14:conditionalFormatting xmlns:xm="http://schemas.microsoft.com/office/excel/2006/main">
          <x14:cfRule type="expression" priority="4457" id="{9626C05E-8F5E-4F20-BB19-9B6263824575}">
            <xm:f>'TC1'!$B10="Speak"</xm:f>
            <x14:dxf>
              <font>
                <b/>
                <i val="0"/>
                <color rgb="FFFF0000"/>
              </font>
            </x14:dxf>
          </x14:cfRule>
          <xm:sqref>C9:C12</xm:sqref>
        </x14:conditionalFormatting>
        <x14:conditionalFormatting xmlns:xm="http://schemas.microsoft.com/office/excel/2006/main">
          <x14:cfRule type="containsText" priority="6333" operator="containsText" text="Hear" id="{7B8C1184-7063-4934-99BA-76505BB706D9}">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sheetPr codeName="Sheet140"/>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TC138</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VLOOKUP(Table257519913140106110151155170178184[[#This Row],[PEG]],Table1016[#All],2,FALSE)</f>
        <v>#N/A</v>
      </c>
      <c r="D9" s="125"/>
      <c r="E9" s="122" t="e">
        <f>VLOOKUP(Table257519913140106110151155170178184[[#This Row],[PEG]],Table1016[#All],3,FALSE)</f>
        <v>#N/A</v>
      </c>
    </row>
    <row r="10" spans="1:5">
      <c r="A10" s="114">
        <v>3</v>
      </c>
      <c r="B10" s="110" t="s">
        <v>115</v>
      </c>
      <c r="C10" s="105" t="e">
        <f>VLOOKUP(Table257519913140106110151155170178184[[#This Row],[PEG]],Table1016[#All],2,FALSE)</f>
        <v>#N/A</v>
      </c>
      <c r="D10" s="125"/>
      <c r="E10" s="122" t="e">
        <f>VLOOKUP(Table257519913140106110151155170178184[[#This Row],[PEG]],Table1016[#All],3,FALSE)</f>
        <v>#N/A</v>
      </c>
    </row>
    <row r="11" spans="1:5">
      <c r="A11" s="114">
        <v>4</v>
      </c>
      <c r="B11" s="110" t="s">
        <v>115</v>
      </c>
      <c r="C11" s="105" t="e">
        <f>VLOOKUP(Table257519913140106110151155170178184[[#This Row],[PEG]],Table1016[#All],2,FALSE)</f>
        <v>#N/A</v>
      </c>
      <c r="D11" s="125"/>
      <c r="E11" s="122" t="e">
        <f>VLOOKUP(Table257519913140106110151155170178184[[#This Row],[PEG]],Table1016[#All],3,FALSE)</f>
        <v>#N/A</v>
      </c>
    </row>
    <row r="12" spans="1:5">
      <c r="A12" s="114">
        <v>5</v>
      </c>
      <c r="B12" s="110" t="s">
        <v>114</v>
      </c>
      <c r="C12" s="105" t="e">
        <f>VLOOKUP(Table257519913140106110151155170178184[[#This Row],[PEG]],Table1016[#All],2,FALSE)</f>
        <v>#N/A</v>
      </c>
      <c r="D12" s="125"/>
      <c r="E12" s="122" t="e">
        <f>VLOOKUP(Table257519913140106110151155170178184[[#This Row],[PEG]],Table1016[#All],3,FALSE)</f>
        <v>#N/A</v>
      </c>
    </row>
    <row r="13" spans="1:5">
      <c r="A13" s="114">
        <v>6</v>
      </c>
      <c r="B13" s="110" t="s">
        <v>115</v>
      </c>
      <c r="C13" s="105" t="e">
        <f>VLOOKUP(Table257519913140106110151155170178184[[#This Row],[PEG]],Table1016[#All],2,FALSE)</f>
        <v>#N/A</v>
      </c>
      <c r="D13" s="125"/>
      <c r="E13" s="122" t="e">
        <f>VLOOKUP(Table257519913140106110151155170178184[[#This Row],[PEG]],Table1016[#All],3,FALSE)</f>
        <v>#N/A</v>
      </c>
    </row>
    <row r="14" spans="1:5">
      <c r="A14" s="114">
        <v>7</v>
      </c>
      <c r="B14" s="110" t="s">
        <v>114</v>
      </c>
      <c r="C14" s="105" t="e">
        <f>VLOOKUP(Table257519913140106110151155170178184[[#This Row],[PEG]],Table1016[#All],2,FALSE)</f>
        <v>#N/A</v>
      </c>
      <c r="D14" s="125"/>
      <c r="E14" s="122" t="e">
        <f>VLOOKUP(Table257519913140106110151155170178184[[#This Row],[PEG]],Table1016[#All],3,FALSE)</f>
        <v>#N/A</v>
      </c>
    </row>
    <row r="15" spans="1:5">
      <c r="A15" s="114">
        <v>8</v>
      </c>
      <c r="B15" s="110" t="s">
        <v>115</v>
      </c>
      <c r="C15" s="105" t="e">
        <f>VLOOKUP(Table257519913140106110151155170178184[[#This Row],[PEG]],Table1016[#All],2,FALSE)</f>
        <v>#N/A</v>
      </c>
      <c r="D15" s="112"/>
      <c r="E15" s="122" t="e">
        <f>VLOOKUP(Table257519913140106110151155170178184[[#This Row],[PEG]],Table1016[#All],3,FALSE)</f>
        <v>#N/A</v>
      </c>
    </row>
    <row r="16" spans="1:5">
      <c r="A16" s="114">
        <v>9</v>
      </c>
      <c r="B16" s="110" t="s">
        <v>12</v>
      </c>
      <c r="C16" s="105" t="e">
        <f>VLOOKUP(Table257519913140106110151155170178184[[#This Row],[PEG]],Table1016[#All],2,FALSE)</f>
        <v>#N/A</v>
      </c>
      <c r="D16" s="112"/>
      <c r="E16" s="122" t="e">
        <f>VLOOKUP(Table257519913140106110151155170178184[[#This Row],[PEG]],Table1016[#All],3,FALSE)</f>
        <v>#N/A</v>
      </c>
    </row>
    <row r="17" spans="1:5">
      <c r="A17" s="114">
        <v>10</v>
      </c>
      <c r="B17" s="110" t="s">
        <v>12</v>
      </c>
      <c r="C17" s="105" t="e">
        <f>VLOOKUP(Table257519913140106110151155170178184[[#This Row],[PEG]],Table1016[#All],2,FALSE)</f>
        <v>#N/A</v>
      </c>
      <c r="D17" s="113"/>
      <c r="E17" s="122" t="e">
        <f>VLOOKUP(Table257519913140106110151155170178184[[#This Row],[PEG]],Table1016[#All],3,FALSE)</f>
        <v>#N/A</v>
      </c>
    </row>
    <row r="18" spans="1:5">
      <c r="A18" s="114">
        <v>11</v>
      </c>
      <c r="B18" s="110" t="s">
        <v>115</v>
      </c>
      <c r="C18" s="105" t="e">
        <f>VLOOKUP(Table257519913140106110151155170178184[[#This Row],[PEG]],Table1016[#All],2,FALSE)</f>
        <v>#N/A</v>
      </c>
      <c r="D18" s="113"/>
      <c r="E18" s="122" t="e">
        <f>VLOOKUP(Table257519913140106110151155170178184[[#This Row],[PEG]],Table1016[#All],3,FALSE)</f>
        <v>#N/A</v>
      </c>
    </row>
    <row r="19" spans="1:5">
      <c r="A19" s="114">
        <v>12</v>
      </c>
      <c r="B19" s="110" t="s">
        <v>115</v>
      </c>
      <c r="C19" s="105" t="e">
        <f>VLOOKUP(Table257519913140106110151155170178184[[#This Row],[PEG]],Table1016[#All],2,FALSE)</f>
        <v>#N/A</v>
      </c>
      <c r="D19" s="113"/>
      <c r="E19" s="122" t="e">
        <f>VLOOKUP(Table257519913140106110151155170178184[[#This Row],[PEG]],Table1016[#All],3,FALSE)</f>
        <v>#N/A</v>
      </c>
    </row>
    <row r="20" spans="1:5">
      <c r="A20" s="114">
        <v>13</v>
      </c>
      <c r="B20" s="110" t="s">
        <v>114</v>
      </c>
      <c r="C20" s="105" t="e">
        <f>VLOOKUP(Table257519913140106110151155170178184[[#This Row],[PEG]],Table1016[#All],2,FALSE)</f>
        <v>#N/A</v>
      </c>
      <c r="D20" s="113"/>
      <c r="E20" s="122" t="e">
        <f>VLOOKUP(Table257519913140106110151155170178184[[#This Row],[PEG]],Table1016[#All],3,FALSE)</f>
        <v>#N/A</v>
      </c>
    </row>
    <row r="21" spans="1:5">
      <c r="A21" s="114">
        <v>14</v>
      </c>
      <c r="B21" s="110" t="s">
        <v>12</v>
      </c>
      <c r="C21" s="105" t="e">
        <f>VLOOKUP(Table257519913140106110151155170178184[[#This Row],[PEG]],Table1016[#All],2,FALSE)</f>
        <v>#N/A</v>
      </c>
      <c r="D21" s="113"/>
      <c r="E21" s="122" t="e">
        <f>VLOOKUP(Table257519913140106110151155170178184[[#This Row],[PEG]],Table1016[#All],3,FALSE)</f>
        <v>#N/A</v>
      </c>
    </row>
    <row r="22" spans="1:5">
      <c r="A22" s="114">
        <v>15</v>
      </c>
      <c r="B22" s="110" t="s">
        <v>12</v>
      </c>
      <c r="C22" s="105" t="e">
        <f>VLOOKUP(Table257519913140106110151155170178184[[#This Row],[PEG]],Table1016[#All],2,FALSE)</f>
        <v>#N/A</v>
      </c>
      <c r="D22" s="113"/>
      <c r="E22" s="122" t="e">
        <f>VLOOKUP(Table257519913140106110151155170178184[[#This Row],[PEG]],Table1016[#All],3,FALSE)</f>
        <v>#N/A</v>
      </c>
    </row>
    <row r="23" spans="1:5">
      <c r="A23" s="114">
        <v>16</v>
      </c>
      <c r="B23" s="110" t="s">
        <v>115</v>
      </c>
      <c r="C23" s="105" t="e">
        <f>VLOOKUP(Table257519913140106110151155170178184[[#This Row],[PEG]],Table1016[#All],2,FALSE)</f>
        <v>#N/A</v>
      </c>
      <c r="D23" s="113"/>
      <c r="E23" s="122" t="e">
        <f>VLOOKUP(Table257519913140106110151155170178184[[#This Row],[PEG]],Table1016[#All],3,FALSE)</f>
        <v>#N/A</v>
      </c>
    </row>
    <row r="24" spans="1:5">
      <c r="A24" s="114">
        <v>17</v>
      </c>
      <c r="B24" s="110" t="s">
        <v>114</v>
      </c>
      <c r="C24" s="105" t="e">
        <f>VLOOKUP(Table257519913140106110151155170178184[[#This Row],[PEG]],Table1016[#All],2,FALSE)</f>
        <v>#N/A</v>
      </c>
      <c r="D24" s="113"/>
      <c r="E24" s="122" t="e">
        <f>VLOOKUP(Table257519913140106110151155170178184[[#This Row],[PEG]],Table1016[#All],3,FALSE)</f>
        <v>#N/A</v>
      </c>
    </row>
    <row r="25" spans="1:5">
      <c r="A25" s="114">
        <v>18</v>
      </c>
      <c r="B25" s="110" t="s">
        <v>12</v>
      </c>
      <c r="C25" s="105" t="e">
        <f>VLOOKUP(Table257519913140106110151155170178184[[#This Row],[PEG]],Table1016[#All],2,FALSE)</f>
        <v>#N/A</v>
      </c>
      <c r="D25" s="113"/>
      <c r="E25" s="122" t="e">
        <f>VLOOKUP(Table257519913140106110151155170178184[[#This Row],[PEG]],Table1016[#All],3,FALSE)</f>
        <v>#N/A</v>
      </c>
    </row>
    <row r="26" spans="1:5">
      <c r="A26" s="114">
        <v>19</v>
      </c>
      <c r="B26" s="110" t="s">
        <v>12</v>
      </c>
      <c r="C26" s="105" t="e">
        <f>VLOOKUP(Table257519913140106110151155170178184[[#This Row],[PEG]],Table1016[#All],2,FALSE)</f>
        <v>#N/A</v>
      </c>
      <c r="D26" s="113"/>
      <c r="E26" s="122" t="e">
        <f>VLOOKUP(Table257519913140106110151155170178184[[#This Row],[PEG]],Table1016[#All],3,FALSE)</f>
        <v>#N/A</v>
      </c>
    </row>
    <row r="27" spans="1:5">
      <c r="A27" s="114">
        <v>20</v>
      </c>
      <c r="B27" s="110" t="s">
        <v>115</v>
      </c>
      <c r="C27" s="105" t="e">
        <f>VLOOKUP(Table257519913140106110151155170178184[[#This Row],[PEG]],Table1016[#All],2,FALSE)</f>
        <v>#N/A</v>
      </c>
      <c r="D27" s="113"/>
      <c r="E27" s="122" t="e">
        <f>VLOOKUP(Table257519913140106110151155170178184[[#This Row],[PEG]],Table1016[#All],3,FALSE)</f>
        <v>#N/A</v>
      </c>
    </row>
    <row r="28" spans="1:5">
      <c r="A28" s="114">
        <v>21</v>
      </c>
      <c r="B28" s="110" t="s">
        <v>114</v>
      </c>
      <c r="C28" s="105" t="e">
        <f>VLOOKUP(Table257519913140106110151155170178184[[#This Row],[PEG]],Table1016[#All],2,FALSE)</f>
        <v>#N/A</v>
      </c>
      <c r="D28" s="113"/>
      <c r="E28" s="122" t="e">
        <f>VLOOKUP(Table257519913140106110151155170178184[[#This Row],[PEG]],Table1016[#All],3,FALSE)</f>
        <v>#N/A</v>
      </c>
    </row>
    <row r="29" spans="1:5">
      <c r="A29" s="114">
        <v>22</v>
      </c>
      <c r="B29" s="110" t="s">
        <v>12</v>
      </c>
      <c r="C29" s="105" t="e">
        <f>VLOOKUP(Table257519913140106110151155170178184[[#This Row],[PEG]],Table1016[#All],2,FALSE)</f>
        <v>#N/A</v>
      </c>
      <c r="D29" s="113"/>
      <c r="E29" s="122" t="e">
        <f>VLOOKUP(Table257519913140106110151155170178184[[#This Row],[PEG]],Table1016[#All],3,FALSE)</f>
        <v>#N/A</v>
      </c>
    </row>
    <row r="30" spans="1:5">
      <c r="A30" s="114">
        <v>23</v>
      </c>
      <c r="B30" s="110" t="s">
        <v>12</v>
      </c>
      <c r="C30" s="105" t="e">
        <f>VLOOKUP(Table257519913140106110151155170178184[[#This Row],[PEG]],Table1016[#All],2,FALSE)</f>
        <v>#N/A</v>
      </c>
      <c r="D30" s="113"/>
      <c r="E30" s="122" t="e">
        <f>VLOOKUP(Table257519913140106110151155170178184[[#This Row],[PEG]],Table1016[#All],3,FALSE)</f>
        <v>#N/A</v>
      </c>
    </row>
    <row r="31" spans="1:5">
      <c r="A31" s="114">
        <v>24</v>
      </c>
      <c r="B31" s="110" t="s">
        <v>115</v>
      </c>
      <c r="C31" s="105" t="e">
        <f>VLOOKUP(Table257519913140106110151155170178184[[#This Row],[PEG]],Table1016[#All],2,FALSE)</f>
        <v>#N/A</v>
      </c>
      <c r="D31" s="113"/>
      <c r="E31" s="122" t="e">
        <f>VLOOKUP(Table257519913140106110151155170178184[[#This Row],[PEG]],Table1016[#All],3,FALSE)</f>
        <v>#N/A</v>
      </c>
    </row>
    <row r="32" spans="1:5">
      <c r="A32" s="114">
        <v>25</v>
      </c>
      <c r="B32" s="110" t="s">
        <v>115</v>
      </c>
      <c r="C32" s="105" t="e">
        <f>VLOOKUP(Table257519913140106110151155170178184[[#This Row],[PEG]],Table1016[#All],2,FALSE)</f>
        <v>#N/A</v>
      </c>
      <c r="D32" s="113"/>
      <c r="E32" s="122" t="e">
        <f>VLOOKUP(Table257519913140106110151155170178184[[#This Row],[PEG]],Table1016[#All],3,FALSE)</f>
        <v>#N/A</v>
      </c>
    </row>
    <row r="33" spans="1:5">
      <c r="A33" s="114">
        <v>26</v>
      </c>
      <c r="B33" s="110" t="s">
        <v>124</v>
      </c>
      <c r="C33" s="105" t="e">
        <f>VLOOKUP(Table257519913140106110151155170178184[[#This Row],[PEG]],Table1016[#All],2,FALSE)</f>
        <v>#N/A</v>
      </c>
      <c r="D33" s="113"/>
      <c r="E33" s="122" t="e">
        <f>VLOOKUP(Table257519913140106110151155170178184[[#This Row],[PEG]],Table1016[#All],3,FALSE)</f>
        <v>#N/A</v>
      </c>
    </row>
    <row r="34" spans="1:5">
      <c r="A34" s="114">
        <v>27</v>
      </c>
      <c r="B34" s="110" t="s">
        <v>115</v>
      </c>
      <c r="C34" s="105" t="e">
        <f>VLOOKUP(Table257519913140106110151155170178184[[#This Row],[PEG]],Table1016[#All],2,FALSE)</f>
        <v>#N/A</v>
      </c>
      <c r="D34" s="113"/>
      <c r="E34" s="122" t="e">
        <f>VLOOKUP(Table257519913140106110151155170178184[[#This Row],[PEG]],Table1016[#All],3,FALSE)</f>
        <v>#N/A</v>
      </c>
    </row>
    <row r="35" spans="1:5">
      <c r="A35" s="114">
        <v>28</v>
      </c>
      <c r="B35" s="110" t="s">
        <v>124</v>
      </c>
      <c r="C35" s="105" t="e">
        <f>VLOOKUP(Table257519913140106110151155170178184[[#This Row],[PEG]],Table1016[#All],2,FALSE)</f>
        <v>#N/A</v>
      </c>
      <c r="D35" s="113"/>
      <c r="E35" s="122" t="e">
        <f>VLOOKUP(Table257519913140106110151155170178184[[#This Row],[PEG]],Table1016[#All],3,FALSE)</f>
        <v>#N/A</v>
      </c>
    </row>
    <row r="36" spans="1:5">
      <c r="A36" s="114">
        <v>29</v>
      </c>
      <c r="B36" s="110" t="s">
        <v>115</v>
      </c>
      <c r="C36" s="105" t="e">
        <f>VLOOKUP(Table257519913140106110151155170178184[[#This Row],[PEG]],Table1016[#All],2,FALSE)</f>
        <v>#N/A</v>
      </c>
      <c r="D36" s="113"/>
      <c r="E36" s="122" t="e">
        <f>VLOOKUP(Table257519913140106110151155170178184[[#This Row],[PEG]],Table1016[#All],3,FALSE)</f>
        <v>#N/A</v>
      </c>
    </row>
    <row r="37" spans="1:5">
      <c r="A37" s="114">
        <v>30</v>
      </c>
      <c r="B37" s="110" t="s">
        <v>12</v>
      </c>
      <c r="C37" s="105" t="e">
        <f>VLOOKUP(Table257519913140106110151155170178184[[#This Row],[PEG]],Table1016[#All],2,FALSE)</f>
        <v>#N/A</v>
      </c>
      <c r="D37" s="113"/>
      <c r="E37" s="122" t="e">
        <f>VLOOKUP(Table257519913140106110151155170178184[[#This Row],[PEG]],Table1016[#All],3,FALSE)</f>
        <v>#N/A</v>
      </c>
    </row>
    <row r="38" spans="1:5">
      <c r="A38" s="114">
        <v>31</v>
      </c>
      <c r="B38" s="110" t="s">
        <v>12</v>
      </c>
      <c r="C38" s="105" t="e">
        <f>VLOOKUP(Table257519913140106110151155170178184[[#This Row],[PEG]],Table1016[#All],2,FALSE)</f>
        <v>#N/A</v>
      </c>
      <c r="D38" s="113"/>
      <c r="E38" s="122" t="e">
        <f>VLOOKUP(Table257519913140106110151155170178184[[#This Row],[PEG]],Table1016[#All],3,FALSE)</f>
        <v>#N/A</v>
      </c>
    </row>
    <row r="39" spans="1:5">
      <c r="A39" s="114">
        <v>32</v>
      </c>
      <c r="B39" s="110" t="s">
        <v>12</v>
      </c>
      <c r="C39" s="105" t="e">
        <f>VLOOKUP(Table257519913140106110151155170178184[[#This Row],[PEG]],Table1016[#All],2,FALSE)</f>
        <v>#N/A</v>
      </c>
      <c r="D39" s="113"/>
      <c r="E39" s="122" t="e">
        <f>VLOOKUP(Table257519913140106110151155170178184[[#This Row],[PEG]],Table1016[#All],3,FALSE)</f>
        <v>#N/A</v>
      </c>
    </row>
    <row r="40" spans="1:5">
      <c r="A40" s="114">
        <v>33</v>
      </c>
      <c r="B40" s="110" t="s">
        <v>12</v>
      </c>
      <c r="C40" s="105" t="e">
        <f>VLOOKUP(Table257519913140106110151155170178184[[#This Row],[PEG]],Table1016[#All],2,FALSE)</f>
        <v>#N/A</v>
      </c>
      <c r="D40" s="113"/>
      <c r="E40" s="122" t="e">
        <f>VLOOKUP(Table257519913140106110151155170178184[[#This Row],[PEG]],Table1016[#All],3,FALSE)</f>
        <v>#N/A</v>
      </c>
    </row>
    <row r="41" spans="1:5">
      <c r="A41" s="114">
        <v>34</v>
      </c>
      <c r="B41" s="110" t="s">
        <v>115</v>
      </c>
      <c r="C41" s="105" t="e">
        <f>VLOOKUP(Table257519913140106110151155170178184[[#This Row],[PEG]],Table1016[#All],2,FALSE)</f>
        <v>#N/A</v>
      </c>
      <c r="D41" s="113"/>
      <c r="E41" s="122" t="e">
        <f>VLOOKUP(Table257519913140106110151155170178184[[#This Row],[PEG]],Table1016[#All],3,FALSE)</f>
        <v>#N/A</v>
      </c>
    </row>
    <row r="42" spans="1:5">
      <c r="A42" s="114">
        <v>35</v>
      </c>
      <c r="B42" s="110" t="s">
        <v>12</v>
      </c>
      <c r="C42" s="105" t="e">
        <f>VLOOKUP(Table257519913140106110151155170178184[[#This Row],[PEG]],Table1016[#All],2,FALSE)</f>
        <v>#N/A</v>
      </c>
      <c r="D42" s="111"/>
      <c r="E42" s="122" t="e">
        <f>VLOOKUP(Table257519913140106110151155170178184[[#This Row],[PEG]],Table1016[#All],3,FALSE)</f>
        <v>#N/A</v>
      </c>
    </row>
    <row r="43" spans="1:5">
      <c r="A43" s="114">
        <v>36</v>
      </c>
      <c r="B43" s="110" t="s">
        <v>115</v>
      </c>
      <c r="C43" s="105" t="e">
        <f>VLOOKUP(Table257519913140106110151155170178184[[#This Row],[PEG]],Table1016[#All],2,FALSE)</f>
        <v>#N/A</v>
      </c>
      <c r="D43" s="111"/>
      <c r="E43" s="122" t="e">
        <f>VLOOKUP(Table257519913140106110151155170178184[[#This Row],[PEG]],Table1016[#All],3,FALSE)</f>
        <v>#N/A</v>
      </c>
    </row>
    <row r="44" spans="1:5">
      <c r="A44" s="114">
        <v>37</v>
      </c>
      <c r="B44" s="110" t="s">
        <v>13</v>
      </c>
      <c r="C44" s="17" t="s">
        <v>13</v>
      </c>
      <c r="D44" s="111"/>
      <c r="E44" s="31"/>
    </row>
  </sheetData>
  <mergeCells count="1">
    <mergeCell ref="A1:B1"/>
  </mergeCells>
  <conditionalFormatting sqref="B8:B18">
    <cfRule type="containsText" dxfId="1695" priority="1" operator="containsText" text="Hear">
      <formula>NOT(ISERROR(SEARCH("Hear",B8)))</formula>
    </cfRule>
  </conditionalFormatting>
  <conditionalFormatting sqref="B30">
    <cfRule type="containsText" dxfId="1694" priority="4" operator="containsText" text="Hear">
      <formula>NOT(ISERROR(SEARCH("Hear",B30)))</formula>
    </cfRule>
  </conditionalFormatting>
  <conditionalFormatting sqref="B43:B44">
    <cfRule type="containsText" dxfId="1693" priority="8" operator="containsText" text="Hear">
      <formula>NOT(ISERROR(SEARCH("Hear",B43)))</formula>
    </cfRule>
  </conditionalFormatting>
  <conditionalFormatting sqref="E44">
    <cfRule type="containsText" dxfId="1692" priority="6" operator="containsText" text="WEB SERVICE">
      <formula>NOT(ISERROR(SEARCH("WEB SERVICE",E44)))</formula>
    </cfRule>
    <cfRule type="containsText" dxfId="1691" priority="7" operator="containsText" text="DB">
      <formula>NOT(ISERROR(SEARCH("DB",E44)))</formula>
    </cfRule>
  </conditionalFormatting>
  <conditionalFormatting sqref="C44">
    <cfRule type="expression" dxfId="1690" priority="9">
      <formula>$B44="HANGUP"</formula>
    </cfRule>
    <cfRule type="expression" dxfId="1689" priority="9">
      <formula>$B44="Dial"</formula>
    </cfRule>
  </conditionalFormatting>
  <conditionalFormatting sqref="C44">
    <cfRule type="expression" dxfId="1688" priority="3">
      <formula>$B44="Speak"</formula>
    </cfRule>
  </conditionalFormatting>
  <conditionalFormatting sqref="B36:B38 B40:B41">
    <cfRule type="containsText" dxfId="1687" priority="2" operator="containsText" text="Hear">
      <formula>NOT(ISERROR(SEARCH("Hear",B36)))</formula>
    </cfRule>
  </conditionalFormatting>
  <conditionalFormatting sqref="B19:B29 B31:B35 B42">
    <cfRule type="containsText" dxfId="1686" priority="5" operator="containsText" text="Hear">
      <formula>NOT(ISERROR(SEARCH("Hear",B19)))</formula>
    </cfRule>
  </conditionalFormatting>
  <hyperlinks>
    <hyperlink ref="A1" location="'Test Case Overview'!A1" display="Return to Test Case Overview" xr:uid="{00000000-0004-0000-8A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0" id="{F5BBBC74-2560-48B2-AEC6-E96374AFE48A}">
            <xm:f>'TC1'!$B8="Dial"</xm:f>
            <x14:dxf>
              <font>
                <b/>
                <i val="0"/>
                <color rgb="FFFF0000"/>
              </font>
            </x14:dxf>
          </x14:cfRule>
          <x14:cfRule type="expression" priority="10" id="{246F04D6-CE2D-4EF3-9243-344290045228}">
            <xm:f>'TC1'!$B8="HANGUP"</xm:f>
            <x14:dxf>
              <font>
                <b/>
                <i val="0"/>
              </font>
            </x14:dxf>
          </x14:cfRule>
          <xm:sqref>C8</xm:sqref>
        </x14:conditionalFormatting>
        <x14:conditionalFormatting xmlns:xm="http://schemas.microsoft.com/office/excel/2006/main">
          <x14:cfRule type="expression" priority="11" id="{BDB14B5E-EAF8-4154-9379-9AF5117504FB}">
            <xm:f>'TC1'!$B8="Speak"</xm:f>
            <x14:dxf>
              <font>
                <b/>
                <i val="0"/>
                <color rgb="FFFF0000"/>
              </font>
            </x14:dxf>
          </x14:cfRule>
          <xm:sqref>C8</xm:sqref>
        </x14:conditionalFormatting>
        <x14:conditionalFormatting xmlns:xm="http://schemas.microsoft.com/office/excel/2006/main">
          <x14:cfRule type="containsText" priority="12" operator="containsText" text="DB" id="{A0087F36-7896-43D2-9D6E-250C8A7371B6}">
            <xm:f>NOT(ISERROR(SEARCH("DB",'TC1'!E10)))</xm:f>
            <x14:dxf>
              <font>
                <color rgb="FF006100"/>
              </font>
              <fill>
                <patternFill>
                  <bgColor rgb="FFC6EFCE"/>
                </patternFill>
              </fill>
            </x14:dxf>
          </x14:cfRule>
          <x14:cfRule type="containsText" priority="12" operator="containsText" text="WEB SERVICE" id="{F52C6BE8-3ECF-4B8C-B248-1002E53A3300}">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containsText" priority="14" operator="containsText" text="Hear" id="{74684245-D2BC-481F-B569-3A77DEC42027}">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026" id="{F5BBBC74-2560-48B2-AEC6-E96374AFE48A}">
            <xm:f>'TC1'!$B14="Dial"</xm:f>
            <x14:dxf>
              <font>
                <b/>
                <i val="0"/>
                <color rgb="FFFF0000"/>
              </font>
            </x14:dxf>
          </x14:cfRule>
          <x14:cfRule type="expression" priority="3027" id="{246F04D6-CE2D-4EF3-9243-344290045228}">
            <xm:f>'TC1'!$B14="HANGUP"</xm:f>
            <x14:dxf>
              <font>
                <b/>
                <i val="0"/>
              </font>
            </x14:dxf>
          </x14:cfRule>
          <xm:sqref>C34:C43</xm:sqref>
        </x14:conditionalFormatting>
        <x14:conditionalFormatting xmlns:xm="http://schemas.microsoft.com/office/excel/2006/main">
          <x14:cfRule type="expression" priority="3028" id="{F5BBBC74-2560-48B2-AEC6-E96374AFE48A}">
            <xm:f>'TC1'!#REF!="Dial"</xm:f>
            <x14:dxf>
              <font>
                <b/>
                <i val="0"/>
                <color rgb="FFFF0000"/>
              </font>
            </x14:dxf>
          </x14:cfRule>
          <x14:cfRule type="expression" priority="3029" id="{246F04D6-CE2D-4EF3-9243-344290045228}">
            <xm:f>'TC1'!#REF!="HANGUP"</xm:f>
            <x14:dxf>
              <font>
                <b/>
                <i val="0"/>
              </font>
            </x14:dxf>
          </x14:cfRule>
          <xm:sqref>C13:C33</xm:sqref>
        </x14:conditionalFormatting>
        <x14:conditionalFormatting xmlns:xm="http://schemas.microsoft.com/office/excel/2006/main">
          <x14:cfRule type="expression" priority="3033" id="{BDB14B5E-EAF8-4154-9379-9AF5117504FB}">
            <xm:f>'TC1'!$B14="Speak"</xm:f>
            <x14:dxf>
              <font>
                <b/>
                <i val="0"/>
                <color rgb="FFFF0000"/>
              </font>
            </x14:dxf>
          </x14:cfRule>
          <xm:sqref>C34:C43</xm:sqref>
        </x14:conditionalFormatting>
        <x14:conditionalFormatting xmlns:xm="http://schemas.microsoft.com/office/excel/2006/main">
          <x14:cfRule type="expression" priority="3034" id="{BDB14B5E-EAF8-4154-9379-9AF5117504FB}">
            <xm:f>'TC1'!#REF!="Speak"</xm:f>
            <x14:dxf>
              <font>
                <b/>
                <i val="0"/>
                <color rgb="FFFF0000"/>
              </font>
            </x14:dxf>
          </x14:cfRule>
          <xm:sqref>C13:C33</xm:sqref>
        </x14:conditionalFormatting>
        <x14:conditionalFormatting xmlns:xm="http://schemas.microsoft.com/office/excel/2006/main">
          <x14:cfRule type="containsText" priority="3038" operator="containsText" text="DB" id="{A0087F36-7896-43D2-9D6E-250C8A7371B6}">
            <xm:f>NOT(ISERROR(SEARCH("DB",'TC1'!E14)))</xm:f>
            <x14:dxf>
              <font>
                <color rgb="FF006100"/>
              </font>
              <fill>
                <patternFill>
                  <bgColor rgb="FFC6EFCE"/>
                </patternFill>
              </fill>
            </x14:dxf>
          </x14:cfRule>
          <x14:cfRule type="containsText" priority="3039" operator="containsText" text="WEB SERVICE" id="{F52C6BE8-3ECF-4B8C-B248-1002E53A3300}">
            <xm:f>NOT(ISERROR(SEARCH("WEB SERVICE",'TC1'!E14)))</xm:f>
            <x14:dxf>
              <font>
                <color rgb="FF9C0006"/>
              </font>
              <fill>
                <patternFill>
                  <bgColor rgb="FFFFC7CE"/>
                </patternFill>
              </fill>
            </x14:dxf>
          </x14:cfRule>
          <xm:sqref>E34:E43</xm:sqref>
        </x14:conditionalFormatting>
        <x14:conditionalFormatting xmlns:xm="http://schemas.microsoft.com/office/excel/2006/main">
          <x14:cfRule type="containsText" priority="3040" operator="containsText" text="DB" id="{A0087F36-7896-43D2-9D6E-250C8A7371B6}">
            <xm:f>NOT(ISERROR(SEARCH("DB",'TC1'!#REF!)))</xm:f>
            <x14:dxf>
              <font>
                <color rgb="FF006100"/>
              </font>
              <fill>
                <patternFill>
                  <bgColor rgb="FFC6EFCE"/>
                </patternFill>
              </fill>
            </x14:dxf>
          </x14:cfRule>
          <x14:cfRule type="containsText" priority="3041" operator="containsText" text="WEB SERVICE" id="{F52C6BE8-3ECF-4B8C-B248-1002E53A3300}">
            <xm:f>NOT(ISERROR(SEARCH("WEB SERVICE",'TC1'!#REF!)))</xm:f>
            <x14:dxf>
              <font>
                <color rgb="FF9C0006"/>
              </font>
              <fill>
                <patternFill>
                  <bgColor rgb="FFFFC7CE"/>
                </patternFill>
              </fill>
            </x14:dxf>
          </x14:cfRule>
          <xm:sqref>E13:E33</xm:sqref>
        </x14:conditionalFormatting>
        <x14:conditionalFormatting xmlns:xm="http://schemas.microsoft.com/office/excel/2006/main">
          <x14:cfRule type="expression" priority="4462" id="{F5BBBC74-2560-48B2-AEC6-E96374AFE48A}">
            <xm:f>'TC1'!$B10="Dial"</xm:f>
            <x14:dxf>
              <font>
                <b/>
                <i val="0"/>
                <color rgb="FFFF0000"/>
              </font>
            </x14:dxf>
          </x14:cfRule>
          <x14:cfRule type="expression" priority="4463" id="{246F04D6-CE2D-4EF3-9243-344290045228}">
            <xm:f>'TC1'!$B10="HANGUP"</xm:f>
            <x14:dxf>
              <font>
                <b/>
                <i val="0"/>
              </font>
            </x14:dxf>
          </x14:cfRule>
          <xm:sqref>C9:C12</xm:sqref>
        </x14:conditionalFormatting>
        <x14:conditionalFormatting xmlns:xm="http://schemas.microsoft.com/office/excel/2006/main">
          <x14:cfRule type="expression" priority="4465" id="{BDB14B5E-EAF8-4154-9379-9AF5117504FB}">
            <xm:f>'TC1'!$B10="Speak"</xm:f>
            <x14:dxf>
              <font>
                <b/>
                <i val="0"/>
                <color rgb="FFFF0000"/>
              </font>
            </x14:dxf>
          </x14:cfRule>
          <xm:sqref>C9:C12</xm:sqref>
        </x14:conditionalFormatting>
        <x14:conditionalFormatting xmlns:xm="http://schemas.microsoft.com/office/excel/2006/main">
          <x14:cfRule type="containsText" priority="6348" operator="containsText" text="Hear" id="{EAB3B021-6D73-4A46-A6E4-CB613F43DCF2}">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E41"/>
  <sheetViews>
    <sheetView zoomScaleNormal="100" workbookViewId="0">
      <selection activeCell="C4" sqref="C4"/>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TC13</v>
      </c>
    </row>
    <row r="3" spans="1:5">
      <c r="A3" s="100" t="s">
        <v>19</v>
      </c>
      <c r="B3" s="108">
        <f ca="1">VLOOKUP(B2,Table1[#All],2,FALSE)</f>
        <v>0</v>
      </c>
    </row>
    <row r="4" spans="1:5" ht="45">
      <c r="A4" s="109" t="s">
        <v>20</v>
      </c>
      <c r="B4" s="95" t="str">
        <f ca="1">VLOOKUP(B2,Table1[#All],4,FALSE)</f>
        <v>svcArea=titleSvcs, serviceType=checkStatus, Completed=Yes,&gt; 15 days ago,  OFS02 change completed</v>
      </c>
    </row>
    <row r="5" spans="1:5" ht="30">
      <c r="A5" s="100" t="s">
        <v>6</v>
      </c>
      <c r="B5" s="89" t="str">
        <f ca="1">VLOOKUP(B2,Table1[#All],3,FALSE)</f>
        <v>CallStart Main Menu /Title /CheckStatus/ID Auth=True/ Rep Xfer</v>
      </c>
    </row>
    <row r="7" spans="1:5" ht="15.75">
      <c r="A7" s="96" t="s">
        <v>7</v>
      </c>
      <c r="B7" s="97" t="s">
        <v>8</v>
      </c>
      <c r="C7" s="98" t="s">
        <v>9</v>
      </c>
      <c r="D7" s="98" t="s">
        <v>14</v>
      </c>
      <c r="E7" s="99" t="s">
        <v>10</v>
      </c>
    </row>
    <row r="8" spans="1:5">
      <c r="A8" s="114">
        <v>1</v>
      </c>
      <c r="B8" s="110" t="s">
        <v>114</v>
      </c>
      <c r="C8" s="124" t="s">
        <v>125</v>
      </c>
      <c r="D8" s="125"/>
      <c r="E8" s="122" t="s">
        <v>11</v>
      </c>
    </row>
    <row r="9" spans="1:5">
      <c r="A9" s="114">
        <v>2</v>
      </c>
      <c r="B9" s="110" t="s">
        <v>115</v>
      </c>
      <c r="C9" s="105" t="str">
        <f>VLOOKUP(Table25755252691024253334[[#This Row],[PEG]],Table1016[#All],2,FALSE)</f>
        <v>CallID.wav Call ID &lt;CallID&gt;</v>
      </c>
      <c r="D9" s="149" t="s">
        <v>477</v>
      </c>
      <c r="E9" s="122" t="str">
        <f>VLOOKUP(Table25755252691024253334[[#This Row],[PEG]],Table1016[#All],3,FALSE)</f>
        <v>TEST</v>
      </c>
    </row>
    <row r="10" spans="1:5" ht="30">
      <c r="A10" s="114">
        <v>3</v>
      </c>
      <c r="B10" s="110" t="s">
        <v>115</v>
      </c>
      <c r="C10" s="105" t="str">
        <f>VLOOKUP(Table25755252691024253334[[#This Row],[PEG]],Table1016[#All],2,FALSE)</f>
        <v>0100.wav Thank you for calling Shell vacations Club, we are glad you called. Please have your account number available for faster service. [To continue in Spanish, press 9]</v>
      </c>
      <c r="D10" s="145">
        <v>100</v>
      </c>
      <c r="E10" s="122" t="str">
        <f>VLOOKUP(Table25755252691024253334[[#This Row],[PEG]],Table1016[#All],3,FALSE)</f>
        <v>PLAY PROMPT</v>
      </c>
    </row>
    <row r="11" spans="1:5" ht="30">
      <c r="A11" s="114">
        <v>4</v>
      </c>
      <c r="B11" s="110" t="s">
        <v>115</v>
      </c>
      <c r="C11" s="105" t="str">
        <f>VLOOKUP(Table25755252691024253334[[#This Row],[PEG]],Table1016[#All],2,FALSE)</f>
        <v>0110-1.wav Which would you like? You can say... reservations, payments &amp; statements, title &amp; ownership changes, or more options.</v>
      </c>
      <c r="D11" s="145">
        <v>110</v>
      </c>
      <c r="E11" s="122" t="str">
        <f>VLOOKUP(Table25755252691024253334[[#This Row],[PEG]],Table1016[#All],3,FALSE)</f>
        <v>MENU PROMPT</v>
      </c>
    </row>
    <row r="12" spans="1:5">
      <c r="A12" s="114">
        <v>5</v>
      </c>
      <c r="B12" s="110" t="s">
        <v>124</v>
      </c>
      <c r="C12" s="105" t="s">
        <v>2</v>
      </c>
      <c r="D12" s="145"/>
      <c r="E12" s="122" t="e">
        <f>VLOOKUP(Table25755252691024253334[[#This Row],[PEG]],Table1016[#All],3,FALSE)</f>
        <v>#N/A</v>
      </c>
    </row>
    <row r="13" spans="1:5" ht="30">
      <c r="A13" s="114">
        <v>6</v>
      </c>
      <c r="B13" s="110" t="s">
        <v>115</v>
      </c>
      <c r="C13" s="105" t="str">
        <f>VLOOKUP(Table25755252691024253334[[#This Row],[PEG]],Table1016[#All],2,FALSE)</f>
        <v>0300-1.wav You can say ownership changes, check status, make a payment, or help me with something else. Which would you like?</v>
      </c>
      <c r="D13" s="145">
        <v>300</v>
      </c>
      <c r="E13" s="122" t="str">
        <f>VLOOKUP(Table25755252691024253334[[#This Row],[PEG]],Table1016[#All],3,FALSE)</f>
        <v>MENU PROMPT</v>
      </c>
    </row>
    <row r="14" spans="1:5">
      <c r="A14" s="114">
        <v>7</v>
      </c>
      <c r="B14" s="110" t="s">
        <v>124</v>
      </c>
      <c r="C14" s="105" t="s">
        <v>3</v>
      </c>
      <c r="D14" s="112"/>
      <c r="E14" s="122" t="e">
        <f>VLOOKUP(Table25755252691024253334[[#This Row],[PEG]],Table1016[#All],3,FALSE)</f>
        <v>#N/A</v>
      </c>
    </row>
    <row r="15" spans="1:5">
      <c r="A15" s="114">
        <v>8</v>
      </c>
      <c r="B15" s="110" t="s">
        <v>115</v>
      </c>
      <c r="C15" s="105" t="str">
        <f>VLOOKUP(Table25755252691024253334[[#This Row],[PEG]],Table1016[#All],2,FALSE)</f>
        <v>0200-1.wav To get started, what is your account number?</v>
      </c>
      <c r="D15" s="112">
        <v>200</v>
      </c>
      <c r="E15" s="122" t="str">
        <f>VLOOKUP(Table25755252691024253334[[#This Row],[PEG]],Table1016[#All],3,FALSE)</f>
        <v>MENU PROMPT</v>
      </c>
    </row>
    <row r="16" spans="1:5">
      <c r="A16" s="114">
        <v>9</v>
      </c>
      <c r="B16" s="110" t="s">
        <v>124</v>
      </c>
      <c r="C16" s="151" t="s">
        <v>483</v>
      </c>
      <c r="D16" s="113"/>
      <c r="E16" s="122" t="e">
        <f>VLOOKUP(Table25755252691024253334[[#This Row],[PEG]],Table1016[#All],3,FALSE)</f>
        <v>#N/A</v>
      </c>
    </row>
    <row r="17" spans="1:5">
      <c r="A17" s="114">
        <v>10</v>
      </c>
      <c r="B17" s="110" t="s">
        <v>115</v>
      </c>
      <c r="C17" s="127" t="str">
        <f>VLOOKUP(Table25755252691024253334[[#This Row],[PEG]],Table1016[#All],2,FALSE)</f>
        <v>0210-1.wav And the date of birth for the primary owner?</v>
      </c>
      <c r="D17" s="113">
        <v>210</v>
      </c>
      <c r="E17" s="122" t="str">
        <f>VLOOKUP(Table25755252691024253334[[#This Row],[PEG]],Table1016[#All],3,FALSE)</f>
        <v>MENU PROMPT</v>
      </c>
    </row>
    <row r="18" spans="1:5">
      <c r="A18" s="114">
        <v>11</v>
      </c>
      <c r="B18" s="110" t="s">
        <v>124</v>
      </c>
      <c r="C18" s="124" t="s">
        <v>508</v>
      </c>
      <c r="D18" s="113"/>
      <c r="E18" s="122" t="e">
        <f>VLOOKUP(Table25755252691024253334[[#This Row],[PEG]],Table1016[#All],3,FALSE)</f>
        <v>#N/A</v>
      </c>
    </row>
    <row r="19" spans="1:5" s="93" customFormat="1" ht="30">
      <c r="A19" s="114"/>
      <c r="B19" s="110" t="s">
        <v>115</v>
      </c>
      <c r="C19" s="127" t="str">
        <f>VLOOKUP(Table25755252691024253334[[#This Row],[PEG]],Table1016[#All],2,FALSE)</f>
        <v>0310-1.wav Your request to transfer ownership was processed on &lt;date&gt;. Would you like me to send you a copy of the confirmation letter? &lt;pause&gt; If you would like to speak with someone, just say "representative."</v>
      </c>
      <c r="D19" s="113">
        <v>310</v>
      </c>
      <c r="E19" s="122"/>
    </row>
    <row r="20" spans="1:5" s="93" customFormat="1">
      <c r="A20" s="114"/>
      <c r="B20" s="110" t="s">
        <v>124</v>
      </c>
      <c r="C20" s="124" t="s">
        <v>473</v>
      </c>
      <c r="D20" s="113"/>
      <c r="E20" s="122"/>
    </row>
    <row r="21" spans="1:5">
      <c r="A21" s="114">
        <v>12</v>
      </c>
      <c r="B21" s="110" t="s">
        <v>115</v>
      </c>
      <c r="C21" s="150" t="str">
        <f>VLOOKUP(Table25755252691024253334[[#This Row],[PEG]],Table1016[#All],2,FALSE)</f>
        <v>0900.wav Please hold, while I connect you to a customer service representative.</v>
      </c>
      <c r="D21" s="113">
        <v>900</v>
      </c>
      <c r="E21" s="122" t="str">
        <f>VLOOKUP(Table25755252691024253334[[#This Row],[PEG]],Table1016[#All],3,FALSE)</f>
        <v>PLAY PROMPT</v>
      </c>
    </row>
    <row r="22" spans="1:5">
      <c r="A22" s="114">
        <v>13</v>
      </c>
      <c r="B22" s="110" t="s">
        <v>115</v>
      </c>
      <c r="C22" s="105" t="str">
        <f>VLOOKUP(Table25755252691024253334[[#This Row],[PEG]],Table1016[#All],2,FALSE)</f>
        <v>XferNbr.wav Transfer Number &lt;TransferNbr&gt;</v>
      </c>
      <c r="D22" s="113" t="s">
        <v>480</v>
      </c>
      <c r="E22" s="122" t="str">
        <f>VLOOKUP(Table25755252691024253334[[#This Row],[PEG]],Table1016[#All],3,FALSE)</f>
        <v>TEST</v>
      </c>
    </row>
    <row r="23" spans="1:5">
      <c r="A23" s="114">
        <v>14</v>
      </c>
      <c r="B23" s="110" t="s">
        <v>13</v>
      </c>
      <c r="C23" s="105" t="s">
        <v>13</v>
      </c>
      <c r="D23" s="111"/>
      <c r="E23" s="122" t="e">
        <f>VLOOKUP(Table25755252691024253334[[#This Row],[PEG]],Table1016[#All],3,FALSE)</f>
        <v>#N/A</v>
      </c>
    </row>
    <row r="24" spans="1:5">
      <c r="C24" s="25"/>
      <c r="D24" s="107" t="s">
        <v>0</v>
      </c>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5"/>
    </row>
    <row r="39" spans="3:3">
      <c r="C39" s="26"/>
    </row>
    <row r="40" spans="3:3">
      <c r="C40" s="26"/>
    </row>
    <row r="41" spans="3:3">
      <c r="C41" s="26"/>
    </row>
  </sheetData>
  <mergeCells count="1">
    <mergeCell ref="A1:B1"/>
  </mergeCells>
  <conditionalFormatting sqref="C22:C9980">
    <cfRule type="expression" dxfId="6351" priority="39">
      <formula>$B22="Dial"</formula>
    </cfRule>
    <cfRule type="expression" dxfId="6350" priority="41">
      <formula>$B22="HANGUP"</formula>
    </cfRule>
  </conditionalFormatting>
  <conditionalFormatting sqref="C8 C21">
    <cfRule type="expression" dxfId="6349" priority="8">
      <formula>$B8="Dial"</formula>
    </cfRule>
    <cfRule type="expression" dxfId="6348" priority="9">
      <formula>$B8="HANGUP"</formula>
    </cfRule>
  </conditionalFormatting>
  <conditionalFormatting sqref="B8">
    <cfRule type="containsText" dxfId="6347" priority="12" operator="containsText" text="Hear">
      <formula>NOT(ISERROR(SEARCH("Hear",B8)))</formula>
    </cfRule>
  </conditionalFormatting>
  <conditionalFormatting sqref="C9:C15">
    <cfRule type="expression" dxfId="6346" priority="13">
      <formula>$B9="Dial"</formula>
    </cfRule>
    <cfRule type="expression" dxfId="6345" priority="15">
      <formula>$B9="HANGUP"</formula>
    </cfRule>
  </conditionalFormatting>
  <conditionalFormatting sqref="C9:C15 C22:C23">
    <cfRule type="expression" dxfId="6344" priority="14">
      <formula>$B9="Speak"</formula>
    </cfRule>
  </conditionalFormatting>
  <conditionalFormatting sqref="C17">
    <cfRule type="expression" dxfId="6343" priority="10">
      <formula>$B17="Dial"</formula>
    </cfRule>
    <cfRule type="expression" dxfId="6342" priority="11">
      <formula>$B17="HANGUP"</formula>
    </cfRule>
  </conditionalFormatting>
  <conditionalFormatting sqref="B9:B23">
    <cfRule type="containsText" dxfId="6341" priority="7" operator="containsText" text="Hear">
      <formula>NOT(ISERROR(SEARCH("Hear",B9)))</formula>
    </cfRule>
  </conditionalFormatting>
  <conditionalFormatting sqref="C16">
    <cfRule type="expression" dxfId="6340" priority="5">
      <formula>$B16="Dial"</formula>
    </cfRule>
    <cfRule type="expression" dxfId="6339" priority="6">
      <formula>$B16="HANGUP"</formula>
    </cfRule>
  </conditionalFormatting>
  <conditionalFormatting sqref="C18 C20">
    <cfRule type="expression" dxfId="6338" priority="3">
      <formula>$B18="Dial"</formula>
    </cfRule>
    <cfRule type="expression" dxfId="6337" priority="4">
      <formula>$B18="HANGUP"</formula>
    </cfRule>
  </conditionalFormatting>
  <conditionalFormatting sqref="C19">
    <cfRule type="expression" dxfId="6336" priority="1">
      <formula>$B19="Dial"</formula>
    </cfRule>
    <cfRule type="expression" dxfId="6335" priority="2">
      <formula>$B19="HANGUP"</formula>
    </cfRule>
  </conditionalFormatting>
  <hyperlinks>
    <hyperlink ref="A1" location="'Test Case Overview'!A1" display="Return to Test Case Overview" xr:uid="{00000000-0004-0000-0D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30" operator="containsText" text="WEB SERVICE" id="{D29DFCFA-85BF-4285-BF26-1A88E4C131D5}">
            <xm:f>NOT(ISERROR(SEARCH("WEB SERVICE",'TC1'!E10)))</xm:f>
            <x14:dxf>
              <font>
                <color rgb="FF9C0006"/>
              </font>
              <fill>
                <patternFill>
                  <bgColor rgb="FFFFC7CE"/>
                </patternFill>
              </fill>
            </x14:dxf>
          </x14:cfRule>
          <x14:cfRule type="containsText" priority="31" operator="containsText" text="DB" id="{F29C0973-02C1-4697-9994-65968E7F5E62}">
            <xm:f>NOT(ISERROR(SEARCH("DB",'TC1'!E10)))</xm:f>
            <x14:dxf>
              <font>
                <color rgb="FF006100"/>
              </font>
              <fill>
                <patternFill>
                  <bgColor rgb="FFC6EFCE"/>
                </patternFill>
              </fill>
            </x14:dxf>
          </x14:cfRule>
          <xm:sqref>E9:E12</xm:sqref>
        </x14:conditionalFormatting>
        <x14:conditionalFormatting xmlns:xm="http://schemas.microsoft.com/office/excel/2006/main">
          <x14:cfRule type="containsText" priority="748" operator="containsText" text="WEB SERVICE" id="{D29DFCFA-85BF-4285-BF26-1A88E4C131D5}">
            <xm:f>NOT(ISERROR(SEARCH("WEB SERVICE",'TC1'!#REF!)))</xm:f>
            <x14:dxf>
              <font>
                <color rgb="FF9C0006"/>
              </font>
              <fill>
                <patternFill>
                  <bgColor rgb="FFFFC7CE"/>
                </patternFill>
              </fill>
            </x14:dxf>
          </x14:cfRule>
          <x14:cfRule type="containsText" priority="749" operator="containsText" text="DB" id="{F29C0973-02C1-4697-9994-65968E7F5E62}">
            <xm:f>NOT(ISERROR(SEARCH("DB",'TC1'!#REF!)))</xm:f>
            <x14:dxf>
              <font>
                <color rgb="FF006100"/>
              </font>
              <fill>
                <patternFill>
                  <bgColor rgb="FFC6EFCE"/>
                </patternFill>
              </fill>
            </x14:dxf>
          </x14:cfRule>
          <xm:sqref>E13:E23</xm:sqref>
        </x14:conditionalFormatting>
      </x14:conditionalFormattings>
    </ext>
  </extLst>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sheetPr codeName="Sheet141"/>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TC139</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VLOOKUP(Table257519913140106110151155170178186[[#This Row],[PEG]],Table1016[#All],2,FALSE)</f>
        <v>#N/A</v>
      </c>
      <c r="D9" s="125"/>
      <c r="E9" s="122" t="e">
        <f>VLOOKUP(Table257519913140106110151155170178186[[#This Row],[PEG]],Table1016[#All],3,FALSE)</f>
        <v>#N/A</v>
      </c>
    </row>
    <row r="10" spans="1:5">
      <c r="A10" s="114">
        <v>3</v>
      </c>
      <c r="B10" s="110" t="s">
        <v>115</v>
      </c>
      <c r="C10" s="105" t="e">
        <f>VLOOKUP(Table257519913140106110151155170178186[[#This Row],[PEG]],Table1016[#All],2,FALSE)</f>
        <v>#N/A</v>
      </c>
      <c r="D10" s="125"/>
      <c r="E10" s="122" t="e">
        <f>VLOOKUP(Table257519913140106110151155170178186[[#This Row],[PEG]],Table1016[#All],3,FALSE)</f>
        <v>#N/A</v>
      </c>
    </row>
    <row r="11" spans="1:5">
      <c r="A11" s="114">
        <v>4</v>
      </c>
      <c r="B11" s="110" t="s">
        <v>115</v>
      </c>
      <c r="C11" s="105" t="e">
        <f>VLOOKUP(Table257519913140106110151155170178186[[#This Row],[PEG]],Table1016[#All],2,FALSE)</f>
        <v>#N/A</v>
      </c>
      <c r="D11" s="125"/>
      <c r="E11" s="122" t="e">
        <f>VLOOKUP(Table257519913140106110151155170178186[[#This Row],[PEG]],Table1016[#All],3,FALSE)</f>
        <v>#N/A</v>
      </c>
    </row>
    <row r="12" spans="1:5">
      <c r="A12" s="114">
        <v>5</v>
      </c>
      <c r="B12" s="110" t="s">
        <v>114</v>
      </c>
      <c r="C12" s="105" t="e">
        <f>VLOOKUP(Table257519913140106110151155170178186[[#This Row],[PEG]],Table1016[#All],2,FALSE)</f>
        <v>#N/A</v>
      </c>
      <c r="D12" s="125"/>
      <c r="E12" s="122" t="e">
        <f>VLOOKUP(Table257519913140106110151155170178186[[#This Row],[PEG]],Table1016[#All],3,FALSE)</f>
        <v>#N/A</v>
      </c>
    </row>
    <row r="13" spans="1:5">
      <c r="A13" s="114">
        <v>6</v>
      </c>
      <c r="B13" s="110" t="s">
        <v>115</v>
      </c>
      <c r="C13" s="105" t="e">
        <f>VLOOKUP(Table257519913140106110151155170178186[[#This Row],[PEG]],Table1016[#All],2,FALSE)</f>
        <v>#N/A</v>
      </c>
      <c r="D13" s="125"/>
      <c r="E13" s="122" t="e">
        <f>VLOOKUP(Table257519913140106110151155170178186[[#This Row],[PEG]],Table1016[#All],3,FALSE)</f>
        <v>#N/A</v>
      </c>
    </row>
    <row r="14" spans="1:5">
      <c r="A14" s="114">
        <v>7</v>
      </c>
      <c r="B14" s="110" t="s">
        <v>114</v>
      </c>
      <c r="C14" s="105" t="e">
        <f>VLOOKUP(Table257519913140106110151155170178186[[#This Row],[PEG]],Table1016[#All],2,FALSE)</f>
        <v>#N/A</v>
      </c>
      <c r="D14" s="125"/>
      <c r="E14" s="122" t="e">
        <f>VLOOKUP(Table257519913140106110151155170178186[[#This Row],[PEG]],Table1016[#All],3,FALSE)</f>
        <v>#N/A</v>
      </c>
    </row>
    <row r="15" spans="1:5">
      <c r="A15" s="114">
        <v>8</v>
      </c>
      <c r="B15" s="110" t="s">
        <v>115</v>
      </c>
      <c r="C15" s="105" t="e">
        <f>VLOOKUP(Table257519913140106110151155170178186[[#This Row],[PEG]],Table1016[#All],2,FALSE)</f>
        <v>#N/A</v>
      </c>
      <c r="D15" s="112"/>
      <c r="E15" s="122" t="e">
        <f>VLOOKUP(Table257519913140106110151155170178186[[#This Row],[PEG]],Table1016[#All],3,FALSE)</f>
        <v>#N/A</v>
      </c>
    </row>
    <row r="16" spans="1:5">
      <c r="A16" s="114">
        <v>9</v>
      </c>
      <c r="B16" s="110" t="s">
        <v>12</v>
      </c>
      <c r="C16" s="105" t="e">
        <f>VLOOKUP(Table257519913140106110151155170178186[[#This Row],[PEG]],Table1016[#All],2,FALSE)</f>
        <v>#N/A</v>
      </c>
      <c r="D16" s="112"/>
      <c r="E16" s="122" t="e">
        <f>VLOOKUP(Table257519913140106110151155170178186[[#This Row],[PEG]],Table1016[#All],3,FALSE)</f>
        <v>#N/A</v>
      </c>
    </row>
    <row r="17" spans="1:5">
      <c r="A17" s="114">
        <v>10</v>
      </c>
      <c r="B17" s="110" t="s">
        <v>12</v>
      </c>
      <c r="C17" s="105" t="e">
        <f>VLOOKUP(Table257519913140106110151155170178186[[#This Row],[PEG]],Table1016[#All],2,FALSE)</f>
        <v>#N/A</v>
      </c>
      <c r="D17" s="113"/>
      <c r="E17" s="122" t="e">
        <f>VLOOKUP(Table257519913140106110151155170178186[[#This Row],[PEG]],Table1016[#All],3,FALSE)</f>
        <v>#N/A</v>
      </c>
    </row>
    <row r="18" spans="1:5">
      <c r="A18" s="114">
        <v>11</v>
      </c>
      <c r="B18" s="110" t="s">
        <v>115</v>
      </c>
      <c r="C18" s="105" t="e">
        <f>VLOOKUP(Table257519913140106110151155170178186[[#This Row],[PEG]],Table1016[#All],2,FALSE)</f>
        <v>#N/A</v>
      </c>
      <c r="D18" s="113"/>
      <c r="E18" s="122" t="e">
        <f>VLOOKUP(Table257519913140106110151155170178186[[#This Row],[PEG]],Table1016[#All],3,FALSE)</f>
        <v>#N/A</v>
      </c>
    </row>
    <row r="19" spans="1:5">
      <c r="A19" s="114">
        <v>12</v>
      </c>
      <c r="B19" s="110" t="s">
        <v>115</v>
      </c>
      <c r="C19" s="105" t="e">
        <f>VLOOKUP(Table257519913140106110151155170178186[[#This Row],[PEG]],Table1016[#All],2,FALSE)</f>
        <v>#N/A</v>
      </c>
      <c r="D19" s="113"/>
      <c r="E19" s="122" t="e">
        <f>VLOOKUP(Table257519913140106110151155170178186[[#This Row],[PEG]],Table1016[#All],3,FALSE)</f>
        <v>#N/A</v>
      </c>
    </row>
    <row r="20" spans="1:5">
      <c r="A20" s="114">
        <v>13</v>
      </c>
      <c r="B20" s="110" t="s">
        <v>114</v>
      </c>
      <c r="C20" s="105" t="e">
        <f>VLOOKUP(Table257519913140106110151155170178186[[#This Row],[PEG]],Table1016[#All],2,FALSE)</f>
        <v>#N/A</v>
      </c>
      <c r="D20" s="113"/>
      <c r="E20" s="122" t="e">
        <f>VLOOKUP(Table257519913140106110151155170178186[[#This Row],[PEG]],Table1016[#All],3,FALSE)</f>
        <v>#N/A</v>
      </c>
    </row>
    <row r="21" spans="1:5">
      <c r="A21" s="114">
        <v>14</v>
      </c>
      <c r="B21" s="110" t="s">
        <v>12</v>
      </c>
      <c r="C21" s="105" t="e">
        <f>VLOOKUP(Table257519913140106110151155170178186[[#This Row],[PEG]],Table1016[#All],2,FALSE)</f>
        <v>#N/A</v>
      </c>
      <c r="D21" s="113"/>
      <c r="E21" s="122" t="e">
        <f>VLOOKUP(Table257519913140106110151155170178186[[#This Row],[PEG]],Table1016[#All],3,FALSE)</f>
        <v>#N/A</v>
      </c>
    </row>
    <row r="22" spans="1:5">
      <c r="A22" s="114">
        <v>15</v>
      </c>
      <c r="B22" s="110" t="s">
        <v>12</v>
      </c>
      <c r="C22" s="105" t="e">
        <f>VLOOKUP(Table257519913140106110151155170178186[[#This Row],[PEG]],Table1016[#All],2,FALSE)</f>
        <v>#N/A</v>
      </c>
      <c r="D22" s="113"/>
      <c r="E22" s="122" t="e">
        <f>VLOOKUP(Table257519913140106110151155170178186[[#This Row],[PEG]],Table1016[#All],3,FALSE)</f>
        <v>#N/A</v>
      </c>
    </row>
    <row r="23" spans="1:5">
      <c r="A23" s="114">
        <v>16</v>
      </c>
      <c r="B23" s="110" t="s">
        <v>115</v>
      </c>
      <c r="C23" s="105" t="e">
        <f>VLOOKUP(Table257519913140106110151155170178186[[#This Row],[PEG]],Table1016[#All],2,FALSE)</f>
        <v>#N/A</v>
      </c>
      <c r="D23" s="113"/>
      <c r="E23" s="122" t="e">
        <f>VLOOKUP(Table257519913140106110151155170178186[[#This Row],[PEG]],Table1016[#All],3,FALSE)</f>
        <v>#N/A</v>
      </c>
    </row>
    <row r="24" spans="1:5">
      <c r="A24" s="114">
        <v>17</v>
      </c>
      <c r="B24" s="110" t="s">
        <v>114</v>
      </c>
      <c r="C24" s="105" t="e">
        <f>VLOOKUP(Table257519913140106110151155170178186[[#This Row],[PEG]],Table1016[#All],2,FALSE)</f>
        <v>#N/A</v>
      </c>
      <c r="D24" s="113"/>
      <c r="E24" s="122" t="e">
        <f>VLOOKUP(Table257519913140106110151155170178186[[#This Row],[PEG]],Table1016[#All],3,FALSE)</f>
        <v>#N/A</v>
      </c>
    </row>
    <row r="25" spans="1:5">
      <c r="A25" s="114">
        <v>18</v>
      </c>
      <c r="B25" s="110" t="s">
        <v>12</v>
      </c>
      <c r="C25" s="105" t="e">
        <f>VLOOKUP(Table257519913140106110151155170178186[[#This Row],[PEG]],Table1016[#All],2,FALSE)</f>
        <v>#N/A</v>
      </c>
      <c r="D25" s="113"/>
      <c r="E25" s="122" t="e">
        <f>VLOOKUP(Table257519913140106110151155170178186[[#This Row],[PEG]],Table1016[#All],3,FALSE)</f>
        <v>#N/A</v>
      </c>
    </row>
    <row r="26" spans="1:5">
      <c r="A26" s="114">
        <v>19</v>
      </c>
      <c r="B26" s="110" t="s">
        <v>12</v>
      </c>
      <c r="C26" s="105" t="e">
        <f>VLOOKUP(Table257519913140106110151155170178186[[#This Row],[PEG]],Table1016[#All],2,FALSE)</f>
        <v>#N/A</v>
      </c>
      <c r="D26" s="113"/>
      <c r="E26" s="122" t="e">
        <f>VLOOKUP(Table257519913140106110151155170178186[[#This Row],[PEG]],Table1016[#All],3,FALSE)</f>
        <v>#N/A</v>
      </c>
    </row>
    <row r="27" spans="1:5">
      <c r="A27" s="114">
        <v>20</v>
      </c>
      <c r="B27" s="110" t="s">
        <v>115</v>
      </c>
      <c r="C27" s="105" t="e">
        <f>VLOOKUP(Table257519913140106110151155170178186[[#This Row],[PEG]],Table1016[#All],2,FALSE)</f>
        <v>#N/A</v>
      </c>
      <c r="D27" s="113"/>
      <c r="E27" s="122" t="e">
        <f>VLOOKUP(Table257519913140106110151155170178186[[#This Row],[PEG]],Table1016[#All],3,FALSE)</f>
        <v>#N/A</v>
      </c>
    </row>
    <row r="28" spans="1:5">
      <c r="A28" s="114">
        <v>21</v>
      </c>
      <c r="B28" s="110" t="s">
        <v>114</v>
      </c>
      <c r="C28" s="105" t="e">
        <f>VLOOKUP(Table257519913140106110151155170178186[[#This Row],[PEG]],Table1016[#All],2,FALSE)</f>
        <v>#N/A</v>
      </c>
      <c r="D28" s="113"/>
      <c r="E28" s="122" t="e">
        <f>VLOOKUP(Table257519913140106110151155170178186[[#This Row],[PEG]],Table1016[#All],3,FALSE)</f>
        <v>#N/A</v>
      </c>
    </row>
    <row r="29" spans="1:5">
      <c r="A29" s="114">
        <v>22</v>
      </c>
      <c r="B29" s="110" t="s">
        <v>12</v>
      </c>
      <c r="C29" s="105" t="e">
        <f>VLOOKUP(Table257519913140106110151155170178186[[#This Row],[PEG]],Table1016[#All],2,FALSE)</f>
        <v>#N/A</v>
      </c>
      <c r="D29" s="113"/>
      <c r="E29" s="122" t="e">
        <f>VLOOKUP(Table257519913140106110151155170178186[[#This Row],[PEG]],Table1016[#All],3,FALSE)</f>
        <v>#N/A</v>
      </c>
    </row>
    <row r="30" spans="1:5">
      <c r="A30" s="114">
        <v>23</v>
      </c>
      <c r="B30" s="110" t="s">
        <v>12</v>
      </c>
      <c r="C30" s="105" t="e">
        <f>VLOOKUP(Table257519913140106110151155170178186[[#This Row],[PEG]],Table1016[#All],2,FALSE)</f>
        <v>#N/A</v>
      </c>
      <c r="D30" s="113"/>
      <c r="E30" s="122" t="e">
        <f>VLOOKUP(Table257519913140106110151155170178186[[#This Row],[PEG]],Table1016[#All],3,FALSE)</f>
        <v>#N/A</v>
      </c>
    </row>
    <row r="31" spans="1:5">
      <c r="A31" s="114">
        <v>24</v>
      </c>
      <c r="B31" s="110" t="s">
        <v>115</v>
      </c>
      <c r="C31" s="105" t="e">
        <f>VLOOKUP(Table257519913140106110151155170178186[[#This Row],[PEG]],Table1016[#All],2,FALSE)</f>
        <v>#N/A</v>
      </c>
      <c r="D31" s="113"/>
      <c r="E31" s="122" t="e">
        <f>VLOOKUP(Table257519913140106110151155170178186[[#This Row],[PEG]],Table1016[#All],3,FALSE)</f>
        <v>#N/A</v>
      </c>
    </row>
    <row r="32" spans="1:5">
      <c r="A32" s="114">
        <v>25</v>
      </c>
      <c r="B32" s="110" t="s">
        <v>115</v>
      </c>
      <c r="C32" s="105" t="e">
        <f>VLOOKUP(Table257519913140106110151155170178186[[#This Row],[PEG]],Table1016[#All],2,FALSE)</f>
        <v>#N/A</v>
      </c>
      <c r="D32" s="113"/>
      <c r="E32" s="122" t="e">
        <f>VLOOKUP(Table257519913140106110151155170178186[[#This Row],[PEG]],Table1016[#All],3,FALSE)</f>
        <v>#N/A</v>
      </c>
    </row>
    <row r="33" spans="1:5">
      <c r="A33" s="114">
        <v>26</v>
      </c>
      <c r="B33" s="110" t="s">
        <v>124</v>
      </c>
      <c r="C33" s="105" t="e">
        <f>VLOOKUP(Table257519913140106110151155170178186[[#This Row],[PEG]],Table1016[#All],2,FALSE)</f>
        <v>#N/A</v>
      </c>
      <c r="D33" s="113"/>
      <c r="E33" s="122" t="e">
        <f>VLOOKUP(Table257519913140106110151155170178186[[#This Row],[PEG]],Table1016[#All],3,FALSE)</f>
        <v>#N/A</v>
      </c>
    </row>
    <row r="34" spans="1:5">
      <c r="A34" s="114">
        <v>27</v>
      </c>
      <c r="B34" s="110" t="s">
        <v>115</v>
      </c>
      <c r="C34" s="105" t="e">
        <f>VLOOKUP(Table257519913140106110151155170178186[[#This Row],[PEG]],Table1016[#All],2,FALSE)</f>
        <v>#N/A</v>
      </c>
      <c r="D34" s="113"/>
      <c r="E34" s="122" t="e">
        <f>VLOOKUP(Table257519913140106110151155170178186[[#This Row],[PEG]],Table1016[#All],3,FALSE)</f>
        <v>#N/A</v>
      </c>
    </row>
    <row r="35" spans="1:5">
      <c r="A35" s="114">
        <v>28</v>
      </c>
      <c r="B35" s="110" t="s">
        <v>124</v>
      </c>
      <c r="C35" s="105" t="e">
        <f>VLOOKUP(Table257519913140106110151155170178186[[#This Row],[PEG]],Table1016[#All],2,FALSE)</f>
        <v>#N/A</v>
      </c>
      <c r="D35" s="113"/>
      <c r="E35" s="122" t="e">
        <f>VLOOKUP(Table257519913140106110151155170178186[[#This Row],[PEG]],Table1016[#All],3,FALSE)</f>
        <v>#N/A</v>
      </c>
    </row>
    <row r="36" spans="1:5">
      <c r="A36" s="114">
        <v>29</v>
      </c>
      <c r="B36" s="110" t="s">
        <v>115</v>
      </c>
      <c r="C36" s="105" t="e">
        <f>VLOOKUP(Table257519913140106110151155170178186[[#This Row],[PEG]],Table1016[#All],2,FALSE)</f>
        <v>#N/A</v>
      </c>
      <c r="D36" s="113"/>
      <c r="E36" s="122" t="e">
        <f>VLOOKUP(Table257519913140106110151155170178186[[#This Row],[PEG]],Table1016[#All],3,FALSE)</f>
        <v>#N/A</v>
      </c>
    </row>
    <row r="37" spans="1:5">
      <c r="A37" s="114">
        <v>30</v>
      </c>
      <c r="B37" s="110" t="s">
        <v>12</v>
      </c>
      <c r="C37" s="105" t="e">
        <f>VLOOKUP(Table257519913140106110151155170178186[[#This Row],[PEG]],Table1016[#All],2,FALSE)</f>
        <v>#N/A</v>
      </c>
      <c r="D37" s="113"/>
      <c r="E37" s="122" t="e">
        <f>VLOOKUP(Table257519913140106110151155170178186[[#This Row],[PEG]],Table1016[#All],3,FALSE)</f>
        <v>#N/A</v>
      </c>
    </row>
    <row r="38" spans="1:5">
      <c r="A38" s="114">
        <v>31</v>
      </c>
      <c r="B38" s="110" t="s">
        <v>12</v>
      </c>
      <c r="C38" s="105" t="e">
        <f>VLOOKUP(Table257519913140106110151155170178186[[#This Row],[PEG]],Table1016[#All],2,FALSE)</f>
        <v>#N/A</v>
      </c>
      <c r="D38" s="113"/>
      <c r="E38" s="122" t="e">
        <f>VLOOKUP(Table257519913140106110151155170178186[[#This Row],[PEG]],Table1016[#All],3,FALSE)</f>
        <v>#N/A</v>
      </c>
    </row>
    <row r="39" spans="1:5">
      <c r="A39" s="114">
        <v>32</v>
      </c>
      <c r="B39" s="110" t="s">
        <v>12</v>
      </c>
      <c r="C39" s="105" t="e">
        <f>VLOOKUP(Table257519913140106110151155170178186[[#This Row],[PEG]],Table1016[#All],2,FALSE)</f>
        <v>#N/A</v>
      </c>
      <c r="D39" s="113"/>
      <c r="E39" s="122" t="e">
        <f>VLOOKUP(Table257519913140106110151155170178186[[#This Row],[PEG]],Table1016[#All],3,FALSE)</f>
        <v>#N/A</v>
      </c>
    </row>
    <row r="40" spans="1:5">
      <c r="A40" s="114">
        <v>33</v>
      </c>
      <c r="B40" s="110" t="s">
        <v>12</v>
      </c>
      <c r="C40" s="105" t="e">
        <f>VLOOKUP(Table257519913140106110151155170178186[[#This Row],[PEG]],Table1016[#All],2,FALSE)</f>
        <v>#N/A</v>
      </c>
      <c r="D40" s="113"/>
      <c r="E40" s="122" t="e">
        <f>VLOOKUP(Table257519913140106110151155170178186[[#This Row],[PEG]],Table1016[#All],3,FALSE)</f>
        <v>#N/A</v>
      </c>
    </row>
    <row r="41" spans="1:5">
      <c r="A41" s="114">
        <v>34</v>
      </c>
      <c r="B41" s="110" t="s">
        <v>115</v>
      </c>
      <c r="C41" s="105" t="e">
        <f>VLOOKUP(Table257519913140106110151155170178186[[#This Row],[PEG]],Table1016[#All],2,FALSE)</f>
        <v>#N/A</v>
      </c>
      <c r="D41" s="113"/>
      <c r="E41" s="122" t="e">
        <f>VLOOKUP(Table257519913140106110151155170178186[[#This Row],[PEG]],Table1016[#All],3,FALSE)</f>
        <v>#N/A</v>
      </c>
    </row>
    <row r="42" spans="1:5">
      <c r="A42" s="114">
        <v>35</v>
      </c>
      <c r="B42" s="110" t="s">
        <v>12</v>
      </c>
      <c r="C42" s="105" t="e">
        <f>VLOOKUP(Table257519913140106110151155170178186[[#This Row],[PEG]],Table1016[#All],2,FALSE)</f>
        <v>#N/A</v>
      </c>
      <c r="D42" s="111"/>
      <c r="E42" s="122" t="e">
        <f>VLOOKUP(Table257519913140106110151155170178186[[#This Row],[PEG]],Table1016[#All],3,FALSE)</f>
        <v>#N/A</v>
      </c>
    </row>
    <row r="43" spans="1:5">
      <c r="A43" s="114">
        <v>36</v>
      </c>
      <c r="B43" s="110" t="s">
        <v>115</v>
      </c>
      <c r="C43" s="105" t="e">
        <f>VLOOKUP(Table257519913140106110151155170178186[[#This Row],[PEG]],Table1016[#All],2,FALSE)</f>
        <v>#N/A</v>
      </c>
      <c r="D43" s="111"/>
      <c r="E43" s="122" t="e">
        <f>VLOOKUP(Table257519913140106110151155170178186[[#This Row],[PEG]],Table1016[#All],3,FALSE)</f>
        <v>#N/A</v>
      </c>
    </row>
    <row r="44" spans="1:5">
      <c r="A44" s="114">
        <v>37</v>
      </c>
      <c r="B44" s="110" t="s">
        <v>13</v>
      </c>
      <c r="C44" s="17" t="s">
        <v>13</v>
      </c>
      <c r="D44" s="111"/>
      <c r="E44" s="31"/>
    </row>
  </sheetData>
  <mergeCells count="1">
    <mergeCell ref="A1:B1"/>
  </mergeCells>
  <conditionalFormatting sqref="B8:B18">
    <cfRule type="containsText" dxfId="1656" priority="1" operator="containsText" text="Hear">
      <formula>NOT(ISERROR(SEARCH("Hear",B8)))</formula>
    </cfRule>
  </conditionalFormatting>
  <conditionalFormatting sqref="B30">
    <cfRule type="containsText" dxfId="1655" priority="4" operator="containsText" text="Hear">
      <formula>NOT(ISERROR(SEARCH("Hear",B30)))</formula>
    </cfRule>
  </conditionalFormatting>
  <conditionalFormatting sqref="B43:B44">
    <cfRule type="containsText" dxfId="1654" priority="8" operator="containsText" text="Hear">
      <formula>NOT(ISERROR(SEARCH("Hear",B43)))</formula>
    </cfRule>
  </conditionalFormatting>
  <conditionalFormatting sqref="E44">
    <cfRule type="containsText" dxfId="1653" priority="6" operator="containsText" text="WEB SERVICE">
      <formula>NOT(ISERROR(SEARCH("WEB SERVICE",E44)))</formula>
    </cfRule>
    <cfRule type="containsText" dxfId="1652" priority="7" operator="containsText" text="DB">
      <formula>NOT(ISERROR(SEARCH("DB",E44)))</formula>
    </cfRule>
  </conditionalFormatting>
  <conditionalFormatting sqref="C44">
    <cfRule type="expression" dxfId="1651" priority="9">
      <formula>$B44="HANGUP"</formula>
    </cfRule>
    <cfRule type="expression" dxfId="1650" priority="9">
      <formula>$B44="Dial"</formula>
    </cfRule>
  </conditionalFormatting>
  <conditionalFormatting sqref="C44">
    <cfRule type="expression" dxfId="1649" priority="3">
      <formula>$B44="Speak"</formula>
    </cfRule>
  </conditionalFormatting>
  <conditionalFormatting sqref="B36:B38 B40:B41">
    <cfRule type="containsText" dxfId="1648" priority="2" operator="containsText" text="Hear">
      <formula>NOT(ISERROR(SEARCH("Hear",B36)))</formula>
    </cfRule>
  </conditionalFormatting>
  <conditionalFormatting sqref="B19:B29 B31:B35 B42">
    <cfRule type="containsText" dxfId="1647" priority="5" operator="containsText" text="Hear">
      <formula>NOT(ISERROR(SEARCH("Hear",B19)))</formula>
    </cfRule>
  </conditionalFormatting>
  <hyperlinks>
    <hyperlink ref="A1" location="'Test Case Overview'!A1" display="Return to Test Case Overview" xr:uid="{00000000-0004-0000-8B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0" id="{63855DAE-DD19-4E58-A210-17CE0FDDED50}">
            <xm:f>'TC1'!$B8="Dial"</xm:f>
            <x14:dxf>
              <font>
                <b/>
                <i val="0"/>
                <color rgb="FFFF0000"/>
              </font>
            </x14:dxf>
          </x14:cfRule>
          <x14:cfRule type="expression" priority="10" id="{75D75DEB-4125-4726-A4C7-13AA0E2D4A46}">
            <xm:f>'TC1'!$B8="HANGUP"</xm:f>
            <x14:dxf>
              <font>
                <b/>
                <i val="0"/>
              </font>
            </x14:dxf>
          </x14:cfRule>
          <xm:sqref>C8</xm:sqref>
        </x14:conditionalFormatting>
        <x14:conditionalFormatting xmlns:xm="http://schemas.microsoft.com/office/excel/2006/main">
          <x14:cfRule type="expression" priority="11" id="{9667B622-9884-408F-9B3C-62C5D5C236FE}">
            <xm:f>'TC1'!$B8="Speak"</xm:f>
            <x14:dxf>
              <font>
                <b/>
                <i val="0"/>
                <color rgb="FFFF0000"/>
              </font>
            </x14:dxf>
          </x14:cfRule>
          <xm:sqref>C8</xm:sqref>
        </x14:conditionalFormatting>
        <x14:conditionalFormatting xmlns:xm="http://schemas.microsoft.com/office/excel/2006/main">
          <x14:cfRule type="containsText" priority="12" operator="containsText" text="DB" id="{CDB50CF6-C701-4128-8A39-006320A2AF2E}">
            <xm:f>NOT(ISERROR(SEARCH("DB",'TC1'!E10)))</xm:f>
            <x14:dxf>
              <font>
                <color rgb="FF006100"/>
              </font>
              <fill>
                <patternFill>
                  <bgColor rgb="FFC6EFCE"/>
                </patternFill>
              </fill>
            </x14:dxf>
          </x14:cfRule>
          <x14:cfRule type="containsText" priority="12" operator="containsText" text="WEB SERVICE" id="{99933C97-45EB-4E21-A19C-75EBC6BFA91F}">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containsText" priority="14" operator="containsText" text="Hear" id="{8B89FF06-6391-408E-98B7-2486D869DC87}">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046" id="{63855DAE-DD19-4E58-A210-17CE0FDDED50}">
            <xm:f>'TC1'!$B14="Dial"</xm:f>
            <x14:dxf>
              <font>
                <b/>
                <i val="0"/>
                <color rgb="FFFF0000"/>
              </font>
            </x14:dxf>
          </x14:cfRule>
          <x14:cfRule type="expression" priority="3047" id="{75D75DEB-4125-4726-A4C7-13AA0E2D4A46}">
            <xm:f>'TC1'!$B14="HANGUP"</xm:f>
            <x14:dxf>
              <font>
                <b/>
                <i val="0"/>
              </font>
            </x14:dxf>
          </x14:cfRule>
          <xm:sqref>C34:C43</xm:sqref>
        </x14:conditionalFormatting>
        <x14:conditionalFormatting xmlns:xm="http://schemas.microsoft.com/office/excel/2006/main">
          <x14:cfRule type="expression" priority="3048" id="{63855DAE-DD19-4E58-A210-17CE0FDDED50}">
            <xm:f>'TC1'!#REF!="Dial"</xm:f>
            <x14:dxf>
              <font>
                <b/>
                <i val="0"/>
                <color rgb="FFFF0000"/>
              </font>
            </x14:dxf>
          </x14:cfRule>
          <x14:cfRule type="expression" priority="3049" id="{75D75DEB-4125-4726-A4C7-13AA0E2D4A46}">
            <xm:f>'TC1'!#REF!="HANGUP"</xm:f>
            <x14:dxf>
              <font>
                <b/>
                <i val="0"/>
              </font>
            </x14:dxf>
          </x14:cfRule>
          <xm:sqref>C13:C33</xm:sqref>
        </x14:conditionalFormatting>
        <x14:conditionalFormatting xmlns:xm="http://schemas.microsoft.com/office/excel/2006/main">
          <x14:cfRule type="expression" priority="3053" id="{9667B622-9884-408F-9B3C-62C5D5C236FE}">
            <xm:f>'TC1'!$B14="Speak"</xm:f>
            <x14:dxf>
              <font>
                <b/>
                <i val="0"/>
                <color rgb="FFFF0000"/>
              </font>
            </x14:dxf>
          </x14:cfRule>
          <xm:sqref>C34:C43</xm:sqref>
        </x14:conditionalFormatting>
        <x14:conditionalFormatting xmlns:xm="http://schemas.microsoft.com/office/excel/2006/main">
          <x14:cfRule type="expression" priority="3054" id="{9667B622-9884-408F-9B3C-62C5D5C236FE}">
            <xm:f>'TC1'!#REF!="Speak"</xm:f>
            <x14:dxf>
              <font>
                <b/>
                <i val="0"/>
                <color rgb="FFFF0000"/>
              </font>
            </x14:dxf>
          </x14:cfRule>
          <xm:sqref>C13:C33</xm:sqref>
        </x14:conditionalFormatting>
        <x14:conditionalFormatting xmlns:xm="http://schemas.microsoft.com/office/excel/2006/main">
          <x14:cfRule type="containsText" priority="3058" operator="containsText" text="DB" id="{CDB50CF6-C701-4128-8A39-006320A2AF2E}">
            <xm:f>NOT(ISERROR(SEARCH("DB",'TC1'!E14)))</xm:f>
            <x14:dxf>
              <font>
                <color rgb="FF006100"/>
              </font>
              <fill>
                <patternFill>
                  <bgColor rgb="FFC6EFCE"/>
                </patternFill>
              </fill>
            </x14:dxf>
          </x14:cfRule>
          <x14:cfRule type="containsText" priority="3059" operator="containsText" text="WEB SERVICE" id="{99933C97-45EB-4E21-A19C-75EBC6BFA91F}">
            <xm:f>NOT(ISERROR(SEARCH("WEB SERVICE",'TC1'!E14)))</xm:f>
            <x14:dxf>
              <font>
                <color rgb="FF9C0006"/>
              </font>
              <fill>
                <patternFill>
                  <bgColor rgb="FFFFC7CE"/>
                </patternFill>
              </fill>
            </x14:dxf>
          </x14:cfRule>
          <xm:sqref>E34:E43</xm:sqref>
        </x14:conditionalFormatting>
        <x14:conditionalFormatting xmlns:xm="http://schemas.microsoft.com/office/excel/2006/main">
          <x14:cfRule type="containsText" priority="3060" operator="containsText" text="DB" id="{CDB50CF6-C701-4128-8A39-006320A2AF2E}">
            <xm:f>NOT(ISERROR(SEARCH("DB",'TC1'!#REF!)))</xm:f>
            <x14:dxf>
              <font>
                <color rgb="FF006100"/>
              </font>
              <fill>
                <patternFill>
                  <bgColor rgb="FFC6EFCE"/>
                </patternFill>
              </fill>
            </x14:dxf>
          </x14:cfRule>
          <x14:cfRule type="containsText" priority="3061" operator="containsText" text="WEB SERVICE" id="{99933C97-45EB-4E21-A19C-75EBC6BFA91F}">
            <xm:f>NOT(ISERROR(SEARCH("WEB SERVICE",'TC1'!#REF!)))</xm:f>
            <x14:dxf>
              <font>
                <color rgb="FF9C0006"/>
              </font>
              <fill>
                <patternFill>
                  <bgColor rgb="FFFFC7CE"/>
                </patternFill>
              </fill>
            </x14:dxf>
          </x14:cfRule>
          <xm:sqref>E13:E33</xm:sqref>
        </x14:conditionalFormatting>
        <x14:conditionalFormatting xmlns:xm="http://schemas.microsoft.com/office/excel/2006/main">
          <x14:cfRule type="expression" priority="4470" id="{63855DAE-DD19-4E58-A210-17CE0FDDED50}">
            <xm:f>'TC1'!$B10="Dial"</xm:f>
            <x14:dxf>
              <font>
                <b/>
                <i val="0"/>
                <color rgb="FFFF0000"/>
              </font>
            </x14:dxf>
          </x14:cfRule>
          <x14:cfRule type="expression" priority="4471" id="{75D75DEB-4125-4726-A4C7-13AA0E2D4A46}">
            <xm:f>'TC1'!$B10="HANGUP"</xm:f>
            <x14:dxf>
              <font>
                <b/>
                <i val="0"/>
              </font>
            </x14:dxf>
          </x14:cfRule>
          <xm:sqref>C9:C12</xm:sqref>
        </x14:conditionalFormatting>
        <x14:conditionalFormatting xmlns:xm="http://schemas.microsoft.com/office/excel/2006/main">
          <x14:cfRule type="expression" priority="4473" id="{9667B622-9884-408F-9B3C-62C5D5C236FE}">
            <xm:f>'TC1'!$B10="Speak"</xm:f>
            <x14:dxf>
              <font>
                <b/>
                <i val="0"/>
                <color rgb="FFFF0000"/>
              </font>
            </x14:dxf>
          </x14:cfRule>
          <xm:sqref>C9:C12</xm:sqref>
        </x14:conditionalFormatting>
        <x14:conditionalFormatting xmlns:xm="http://schemas.microsoft.com/office/excel/2006/main">
          <x14:cfRule type="containsText" priority="6363" operator="containsText" text="Hear" id="{4125279C-0C23-47FD-9450-F0562FAAE693}">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sheetPr codeName="Sheet142"/>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TC140</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VLOOKUP(Table257519913140106110151155170178188[[#This Row],[PEG]],Table1016[#All],2,FALSE)</f>
        <v>#N/A</v>
      </c>
      <c r="D9" s="125"/>
      <c r="E9" s="122" t="e">
        <f>VLOOKUP(Table257519913140106110151155170178188[[#This Row],[PEG]],Table1016[#All],3,FALSE)</f>
        <v>#N/A</v>
      </c>
    </row>
    <row r="10" spans="1:5">
      <c r="A10" s="114">
        <v>3</v>
      </c>
      <c r="B10" s="110" t="s">
        <v>115</v>
      </c>
      <c r="C10" s="105" t="e">
        <f>VLOOKUP(Table257519913140106110151155170178188[[#This Row],[PEG]],Table1016[#All],2,FALSE)</f>
        <v>#N/A</v>
      </c>
      <c r="D10" s="125"/>
      <c r="E10" s="122" t="e">
        <f>VLOOKUP(Table257519913140106110151155170178188[[#This Row],[PEG]],Table1016[#All],3,FALSE)</f>
        <v>#N/A</v>
      </c>
    </row>
    <row r="11" spans="1:5">
      <c r="A11" s="114">
        <v>4</v>
      </c>
      <c r="B11" s="110" t="s">
        <v>115</v>
      </c>
      <c r="C11" s="105" t="e">
        <f>VLOOKUP(Table257519913140106110151155170178188[[#This Row],[PEG]],Table1016[#All],2,FALSE)</f>
        <v>#N/A</v>
      </c>
      <c r="D11" s="125"/>
      <c r="E11" s="122" t="e">
        <f>VLOOKUP(Table257519913140106110151155170178188[[#This Row],[PEG]],Table1016[#All],3,FALSE)</f>
        <v>#N/A</v>
      </c>
    </row>
    <row r="12" spans="1:5">
      <c r="A12" s="114">
        <v>5</v>
      </c>
      <c r="B12" s="110" t="s">
        <v>114</v>
      </c>
      <c r="C12" s="105" t="e">
        <f>VLOOKUP(Table257519913140106110151155170178188[[#This Row],[PEG]],Table1016[#All],2,FALSE)</f>
        <v>#N/A</v>
      </c>
      <c r="D12" s="125"/>
      <c r="E12" s="122" t="e">
        <f>VLOOKUP(Table257519913140106110151155170178188[[#This Row],[PEG]],Table1016[#All],3,FALSE)</f>
        <v>#N/A</v>
      </c>
    </row>
    <row r="13" spans="1:5">
      <c r="A13" s="114">
        <v>6</v>
      </c>
      <c r="B13" s="110" t="s">
        <v>115</v>
      </c>
      <c r="C13" s="105" t="e">
        <f>VLOOKUP(Table257519913140106110151155170178188[[#This Row],[PEG]],Table1016[#All],2,FALSE)</f>
        <v>#N/A</v>
      </c>
      <c r="D13" s="125"/>
      <c r="E13" s="122" t="e">
        <f>VLOOKUP(Table257519913140106110151155170178188[[#This Row],[PEG]],Table1016[#All],3,FALSE)</f>
        <v>#N/A</v>
      </c>
    </row>
    <row r="14" spans="1:5">
      <c r="A14" s="114">
        <v>7</v>
      </c>
      <c r="B14" s="110" t="s">
        <v>114</v>
      </c>
      <c r="C14" s="105" t="e">
        <f>VLOOKUP(Table257519913140106110151155170178188[[#This Row],[PEG]],Table1016[#All],2,FALSE)</f>
        <v>#N/A</v>
      </c>
      <c r="D14" s="125"/>
      <c r="E14" s="122" t="e">
        <f>VLOOKUP(Table257519913140106110151155170178188[[#This Row],[PEG]],Table1016[#All],3,FALSE)</f>
        <v>#N/A</v>
      </c>
    </row>
    <row r="15" spans="1:5">
      <c r="A15" s="114">
        <v>8</v>
      </c>
      <c r="B15" s="110" t="s">
        <v>115</v>
      </c>
      <c r="C15" s="105" t="e">
        <f>VLOOKUP(Table257519913140106110151155170178188[[#This Row],[PEG]],Table1016[#All],2,FALSE)</f>
        <v>#N/A</v>
      </c>
      <c r="D15" s="112"/>
      <c r="E15" s="122" t="e">
        <f>VLOOKUP(Table257519913140106110151155170178188[[#This Row],[PEG]],Table1016[#All],3,FALSE)</f>
        <v>#N/A</v>
      </c>
    </row>
    <row r="16" spans="1:5">
      <c r="A16" s="114">
        <v>9</v>
      </c>
      <c r="B16" s="110" t="s">
        <v>12</v>
      </c>
      <c r="C16" s="105" t="e">
        <f>VLOOKUP(Table257519913140106110151155170178188[[#This Row],[PEG]],Table1016[#All],2,FALSE)</f>
        <v>#N/A</v>
      </c>
      <c r="D16" s="112"/>
      <c r="E16" s="122" t="e">
        <f>VLOOKUP(Table257519913140106110151155170178188[[#This Row],[PEG]],Table1016[#All],3,FALSE)</f>
        <v>#N/A</v>
      </c>
    </row>
    <row r="17" spans="1:5">
      <c r="A17" s="114">
        <v>10</v>
      </c>
      <c r="B17" s="110" t="s">
        <v>12</v>
      </c>
      <c r="C17" s="105" t="e">
        <f>VLOOKUP(Table257519913140106110151155170178188[[#This Row],[PEG]],Table1016[#All],2,FALSE)</f>
        <v>#N/A</v>
      </c>
      <c r="D17" s="113"/>
      <c r="E17" s="122" t="e">
        <f>VLOOKUP(Table257519913140106110151155170178188[[#This Row],[PEG]],Table1016[#All],3,FALSE)</f>
        <v>#N/A</v>
      </c>
    </row>
    <row r="18" spans="1:5">
      <c r="A18" s="114">
        <v>11</v>
      </c>
      <c r="B18" s="110" t="s">
        <v>115</v>
      </c>
      <c r="C18" s="105" t="e">
        <f>VLOOKUP(Table257519913140106110151155170178188[[#This Row],[PEG]],Table1016[#All],2,FALSE)</f>
        <v>#N/A</v>
      </c>
      <c r="D18" s="113"/>
      <c r="E18" s="122" t="e">
        <f>VLOOKUP(Table257519913140106110151155170178188[[#This Row],[PEG]],Table1016[#All],3,FALSE)</f>
        <v>#N/A</v>
      </c>
    </row>
    <row r="19" spans="1:5">
      <c r="A19" s="114">
        <v>12</v>
      </c>
      <c r="B19" s="110" t="s">
        <v>115</v>
      </c>
      <c r="C19" s="105" t="e">
        <f>VLOOKUP(Table257519913140106110151155170178188[[#This Row],[PEG]],Table1016[#All],2,FALSE)</f>
        <v>#N/A</v>
      </c>
      <c r="D19" s="113"/>
      <c r="E19" s="122" t="e">
        <f>VLOOKUP(Table257519913140106110151155170178188[[#This Row],[PEG]],Table1016[#All],3,FALSE)</f>
        <v>#N/A</v>
      </c>
    </row>
    <row r="20" spans="1:5">
      <c r="A20" s="114">
        <v>13</v>
      </c>
      <c r="B20" s="110" t="s">
        <v>114</v>
      </c>
      <c r="C20" s="105" t="e">
        <f>VLOOKUP(Table257519913140106110151155170178188[[#This Row],[PEG]],Table1016[#All],2,FALSE)</f>
        <v>#N/A</v>
      </c>
      <c r="D20" s="113"/>
      <c r="E20" s="122" t="e">
        <f>VLOOKUP(Table257519913140106110151155170178188[[#This Row],[PEG]],Table1016[#All],3,FALSE)</f>
        <v>#N/A</v>
      </c>
    </row>
    <row r="21" spans="1:5">
      <c r="A21" s="114">
        <v>14</v>
      </c>
      <c r="B21" s="110" t="s">
        <v>12</v>
      </c>
      <c r="C21" s="105" t="e">
        <f>VLOOKUP(Table257519913140106110151155170178188[[#This Row],[PEG]],Table1016[#All],2,FALSE)</f>
        <v>#N/A</v>
      </c>
      <c r="D21" s="113"/>
      <c r="E21" s="122" t="e">
        <f>VLOOKUP(Table257519913140106110151155170178188[[#This Row],[PEG]],Table1016[#All],3,FALSE)</f>
        <v>#N/A</v>
      </c>
    </row>
    <row r="22" spans="1:5">
      <c r="A22" s="114">
        <v>15</v>
      </c>
      <c r="B22" s="110" t="s">
        <v>12</v>
      </c>
      <c r="C22" s="105" t="e">
        <f>VLOOKUP(Table257519913140106110151155170178188[[#This Row],[PEG]],Table1016[#All],2,FALSE)</f>
        <v>#N/A</v>
      </c>
      <c r="D22" s="113"/>
      <c r="E22" s="122" t="e">
        <f>VLOOKUP(Table257519913140106110151155170178188[[#This Row],[PEG]],Table1016[#All],3,FALSE)</f>
        <v>#N/A</v>
      </c>
    </row>
    <row r="23" spans="1:5">
      <c r="A23" s="114">
        <v>16</v>
      </c>
      <c r="B23" s="110" t="s">
        <v>115</v>
      </c>
      <c r="C23" s="105" t="e">
        <f>VLOOKUP(Table257519913140106110151155170178188[[#This Row],[PEG]],Table1016[#All],2,FALSE)</f>
        <v>#N/A</v>
      </c>
      <c r="D23" s="113"/>
      <c r="E23" s="122" t="e">
        <f>VLOOKUP(Table257519913140106110151155170178188[[#This Row],[PEG]],Table1016[#All],3,FALSE)</f>
        <v>#N/A</v>
      </c>
    </row>
    <row r="24" spans="1:5">
      <c r="A24" s="114">
        <v>17</v>
      </c>
      <c r="B24" s="110" t="s">
        <v>114</v>
      </c>
      <c r="C24" s="105" t="e">
        <f>VLOOKUP(Table257519913140106110151155170178188[[#This Row],[PEG]],Table1016[#All],2,FALSE)</f>
        <v>#N/A</v>
      </c>
      <c r="D24" s="113"/>
      <c r="E24" s="122" t="e">
        <f>VLOOKUP(Table257519913140106110151155170178188[[#This Row],[PEG]],Table1016[#All],3,FALSE)</f>
        <v>#N/A</v>
      </c>
    </row>
    <row r="25" spans="1:5">
      <c r="A25" s="114">
        <v>18</v>
      </c>
      <c r="B25" s="110" t="s">
        <v>12</v>
      </c>
      <c r="C25" s="105" t="e">
        <f>VLOOKUP(Table257519913140106110151155170178188[[#This Row],[PEG]],Table1016[#All],2,FALSE)</f>
        <v>#N/A</v>
      </c>
      <c r="D25" s="113"/>
      <c r="E25" s="122" t="e">
        <f>VLOOKUP(Table257519913140106110151155170178188[[#This Row],[PEG]],Table1016[#All],3,FALSE)</f>
        <v>#N/A</v>
      </c>
    </row>
    <row r="26" spans="1:5">
      <c r="A26" s="114">
        <v>19</v>
      </c>
      <c r="B26" s="110" t="s">
        <v>12</v>
      </c>
      <c r="C26" s="105" t="e">
        <f>VLOOKUP(Table257519913140106110151155170178188[[#This Row],[PEG]],Table1016[#All],2,FALSE)</f>
        <v>#N/A</v>
      </c>
      <c r="D26" s="113"/>
      <c r="E26" s="122" t="e">
        <f>VLOOKUP(Table257519913140106110151155170178188[[#This Row],[PEG]],Table1016[#All],3,FALSE)</f>
        <v>#N/A</v>
      </c>
    </row>
    <row r="27" spans="1:5">
      <c r="A27" s="114">
        <v>20</v>
      </c>
      <c r="B27" s="110" t="s">
        <v>115</v>
      </c>
      <c r="C27" s="105" t="e">
        <f>VLOOKUP(Table257519913140106110151155170178188[[#This Row],[PEG]],Table1016[#All],2,FALSE)</f>
        <v>#N/A</v>
      </c>
      <c r="D27" s="113"/>
      <c r="E27" s="122" t="e">
        <f>VLOOKUP(Table257519913140106110151155170178188[[#This Row],[PEG]],Table1016[#All],3,FALSE)</f>
        <v>#N/A</v>
      </c>
    </row>
    <row r="28" spans="1:5">
      <c r="A28" s="114">
        <v>21</v>
      </c>
      <c r="B28" s="110" t="s">
        <v>114</v>
      </c>
      <c r="C28" s="105" t="e">
        <f>VLOOKUP(Table257519913140106110151155170178188[[#This Row],[PEG]],Table1016[#All],2,FALSE)</f>
        <v>#N/A</v>
      </c>
      <c r="D28" s="113"/>
      <c r="E28" s="122" t="e">
        <f>VLOOKUP(Table257519913140106110151155170178188[[#This Row],[PEG]],Table1016[#All],3,FALSE)</f>
        <v>#N/A</v>
      </c>
    </row>
    <row r="29" spans="1:5">
      <c r="A29" s="114">
        <v>22</v>
      </c>
      <c r="B29" s="110" t="s">
        <v>12</v>
      </c>
      <c r="C29" s="105" t="e">
        <f>VLOOKUP(Table257519913140106110151155170178188[[#This Row],[PEG]],Table1016[#All],2,FALSE)</f>
        <v>#N/A</v>
      </c>
      <c r="D29" s="113"/>
      <c r="E29" s="122" t="e">
        <f>VLOOKUP(Table257519913140106110151155170178188[[#This Row],[PEG]],Table1016[#All],3,FALSE)</f>
        <v>#N/A</v>
      </c>
    </row>
    <row r="30" spans="1:5">
      <c r="A30" s="114">
        <v>23</v>
      </c>
      <c r="B30" s="110" t="s">
        <v>12</v>
      </c>
      <c r="C30" s="105" t="e">
        <f>VLOOKUP(Table257519913140106110151155170178188[[#This Row],[PEG]],Table1016[#All],2,FALSE)</f>
        <v>#N/A</v>
      </c>
      <c r="D30" s="113"/>
      <c r="E30" s="122" t="e">
        <f>VLOOKUP(Table257519913140106110151155170178188[[#This Row],[PEG]],Table1016[#All],3,FALSE)</f>
        <v>#N/A</v>
      </c>
    </row>
    <row r="31" spans="1:5">
      <c r="A31" s="114">
        <v>24</v>
      </c>
      <c r="B31" s="110" t="s">
        <v>115</v>
      </c>
      <c r="C31" s="105" t="e">
        <f>VLOOKUP(Table257519913140106110151155170178188[[#This Row],[PEG]],Table1016[#All],2,FALSE)</f>
        <v>#N/A</v>
      </c>
      <c r="D31" s="113"/>
      <c r="E31" s="122" t="e">
        <f>VLOOKUP(Table257519913140106110151155170178188[[#This Row],[PEG]],Table1016[#All],3,FALSE)</f>
        <v>#N/A</v>
      </c>
    </row>
    <row r="32" spans="1:5">
      <c r="A32" s="114">
        <v>25</v>
      </c>
      <c r="B32" s="110" t="s">
        <v>115</v>
      </c>
      <c r="C32" s="105" t="e">
        <f>VLOOKUP(Table257519913140106110151155170178188[[#This Row],[PEG]],Table1016[#All],2,FALSE)</f>
        <v>#N/A</v>
      </c>
      <c r="D32" s="113"/>
      <c r="E32" s="122" t="e">
        <f>VLOOKUP(Table257519913140106110151155170178188[[#This Row],[PEG]],Table1016[#All],3,FALSE)</f>
        <v>#N/A</v>
      </c>
    </row>
    <row r="33" spans="1:5">
      <c r="A33" s="114">
        <v>26</v>
      </c>
      <c r="B33" s="110" t="s">
        <v>124</v>
      </c>
      <c r="C33" s="105" t="e">
        <f>VLOOKUP(Table257519913140106110151155170178188[[#This Row],[PEG]],Table1016[#All],2,FALSE)</f>
        <v>#N/A</v>
      </c>
      <c r="D33" s="113"/>
      <c r="E33" s="122" t="e">
        <f>VLOOKUP(Table257519913140106110151155170178188[[#This Row],[PEG]],Table1016[#All],3,FALSE)</f>
        <v>#N/A</v>
      </c>
    </row>
    <row r="34" spans="1:5">
      <c r="A34" s="114">
        <v>27</v>
      </c>
      <c r="B34" s="110" t="s">
        <v>115</v>
      </c>
      <c r="C34" s="105" t="e">
        <f>VLOOKUP(Table257519913140106110151155170178188[[#This Row],[PEG]],Table1016[#All],2,FALSE)</f>
        <v>#N/A</v>
      </c>
      <c r="D34" s="113"/>
      <c r="E34" s="122" t="e">
        <f>VLOOKUP(Table257519913140106110151155170178188[[#This Row],[PEG]],Table1016[#All],3,FALSE)</f>
        <v>#N/A</v>
      </c>
    </row>
    <row r="35" spans="1:5">
      <c r="A35" s="114">
        <v>28</v>
      </c>
      <c r="B35" s="110" t="s">
        <v>124</v>
      </c>
      <c r="C35" s="105" t="e">
        <f>VLOOKUP(Table257519913140106110151155170178188[[#This Row],[PEG]],Table1016[#All],2,FALSE)</f>
        <v>#N/A</v>
      </c>
      <c r="D35" s="113"/>
      <c r="E35" s="122" t="e">
        <f>VLOOKUP(Table257519913140106110151155170178188[[#This Row],[PEG]],Table1016[#All],3,FALSE)</f>
        <v>#N/A</v>
      </c>
    </row>
    <row r="36" spans="1:5">
      <c r="A36" s="114">
        <v>29</v>
      </c>
      <c r="B36" s="110" t="s">
        <v>115</v>
      </c>
      <c r="C36" s="105" t="e">
        <f>VLOOKUP(Table257519913140106110151155170178188[[#This Row],[PEG]],Table1016[#All],2,FALSE)</f>
        <v>#N/A</v>
      </c>
      <c r="D36" s="113"/>
      <c r="E36" s="122" t="e">
        <f>VLOOKUP(Table257519913140106110151155170178188[[#This Row],[PEG]],Table1016[#All],3,FALSE)</f>
        <v>#N/A</v>
      </c>
    </row>
    <row r="37" spans="1:5">
      <c r="A37" s="114">
        <v>30</v>
      </c>
      <c r="B37" s="110" t="s">
        <v>12</v>
      </c>
      <c r="C37" s="105" t="e">
        <f>VLOOKUP(Table257519913140106110151155170178188[[#This Row],[PEG]],Table1016[#All],2,FALSE)</f>
        <v>#N/A</v>
      </c>
      <c r="D37" s="113"/>
      <c r="E37" s="122" t="e">
        <f>VLOOKUP(Table257519913140106110151155170178188[[#This Row],[PEG]],Table1016[#All],3,FALSE)</f>
        <v>#N/A</v>
      </c>
    </row>
    <row r="38" spans="1:5">
      <c r="A38" s="114">
        <v>31</v>
      </c>
      <c r="B38" s="110" t="s">
        <v>12</v>
      </c>
      <c r="C38" s="105" t="e">
        <f>VLOOKUP(Table257519913140106110151155170178188[[#This Row],[PEG]],Table1016[#All],2,FALSE)</f>
        <v>#N/A</v>
      </c>
      <c r="D38" s="113"/>
      <c r="E38" s="122" t="e">
        <f>VLOOKUP(Table257519913140106110151155170178188[[#This Row],[PEG]],Table1016[#All],3,FALSE)</f>
        <v>#N/A</v>
      </c>
    </row>
    <row r="39" spans="1:5">
      <c r="A39" s="114">
        <v>32</v>
      </c>
      <c r="B39" s="110" t="s">
        <v>12</v>
      </c>
      <c r="C39" s="105" t="e">
        <f>VLOOKUP(Table257519913140106110151155170178188[[#This Row],[PEG]],Table1016[#All],2,FALSE)</f>
        <v>#N/A</v>
      </c>
      <c r="D39" s="113"/>
      <c r="E39" s="122" t="e">
        <f>VLOOKUP(Table257519913140106110151155170178188[[#This Row],[PEG]],Table1016[#All],3,FALSE)</f>
        <v>#N/A</v>
      </c>
    </row>
    <row r="40" spans="1:5">
      <c r="A40" s="114">
        <v>33</v>
      </c>
      <c r="B40" s="110" t="s">
        <v>12</v>
      </c>
      <c r="C40" s="105" t="e">
        <f>VLOOKUP(Table257519913140106110151155170178188[[#This Row],[PEG]],Table1016[#All],2,FALSE)</f>
        <v>#N/A</v>
      </c>
      <c r="D40" s="113"/>
      <c r="E40" s="122" t="e">
        <f>VLOOKUP(Table257519913140106110151155170178188[[#This Row],[PEG]],Table1016[#All],3,FALSE)</f>
        <v>#N/A</v>
      </c>
    </row>
    <row r="41" spans="1:5">
      <c r="A41" s="114">
        <v>34</v>
      </c>
      <c r="B41" s="110" t="s">
        <v>115</v>
      </c>
      <c r="C41" s="105" t="e">
        <f>VLOOKUP(Table257519913140106110151155170178188[[#This Row],[PEG]],Table1016[#All],2,FALSE)</f>
        <v>#N/A</v>
      </c>
      <c r="D41" s="113"/>
      <c r="E41" s="122" t="e">
        <f>VLOOKUP(Table257519913140106110151155170178188[[#This Row],[PEG]],Table1016[#All],3,FALSE)</f>
        <v>#N/A</v>
      </c>
    </row>
    <row r="42" spans="1:5">
      <c r="A42" s="114">
        <v>35</v>
      </c>
      <c r="B42" s="110" t="s">
        <v>12</v>
      </c>
      <c r="C42" s="105" t="e">
        <f>VLOOKUP(Table257519913140106110151155170178188[[#This Row],[PEG]],Table1016[#All],2,FALSE)</f>
        <v>#N/A</v>
      </c>
      <c r="D42" s="111"/>
      <c r="E42" s="122" t="e">
        <f>VLOOKUP(Table257519913140106110151155170178188[[#This Row],[PEG]],Table1016[#All],3,FALSE)</f>
        <v>#N/A</v>
      </c>
    </row>
    <row r="43" spans="1:5">
      <c r="A43" s="114">
        <v>36</v>
      </c>
      <c r="B43" s="110" t="s">
        <v>115</v>
      </c>
      <c r="C43" s="105" t="e">
        <f>VLOOKUP(Table257519913140106110151155170178188[[#This Row],[PEG]],Table1016[#All],2,FALSE)</f>
        <v>#N/A</v>
      </c>
      <c r="D43" s="111"/>
      <c r="E43" s="122" t="e">
        <f>VLOOKUP(Table257519913140106110151155170178188[[#This Row],[PEG]],Table1016[#All],3,FALSE)</f>
        <v>#N/A</v>
      </c>
    </row>
    <row r="44" spans="1:5">
      <c r="A44" s="114">
        <v>37</v>
      </c>
      <c r="B44" s="110" t="s">
        <v>13</v>
      </c>
      <c r="C44" s="17" t="s">
        <v>13</v>
      </c>
      <c r="D44" s="111"/>
      <c r="E44" s="31"/>
    </row>
  </sheetData>
  <mergeCells count="1">
    <mergeCell ref="A1:B1"/>
  </mergeCells>
  <conditionalFormatting sqref="B8:B18">
    <cfRule type="containsText" dxfId="1617" priority="1" operator="containsText" text="Hear">
      <formula>NOT(ISERROR(SEARCH("Hear",B8)))</formula>
    </cfRule>
  </conditionalFormatting>
  <conditionalFormatting sqref="B30">
    <cfRule type="containsText" dxfId="1616" priority="4" operator="containsText" text="Hear">
      <formula>NOT(ISERROR(SEARCH("Hear",B30)))</formula>
    </cfRule>
  </conditionalFormatting>
  <conditionalFormatting sqref="B43:B44">
    <cfRule type="containsText" dxfId="1615" priority="8" operator="containsText" text="Hear">
      <formula>NOT(ISERROR(SEARCH("Hear",B43)))</formula>
    </cfRule>
  </conditionalFormatting>
  <conditionalFormatting sqref="E44">
    <cfRule type="containsText" dxfId="1614" priority="6" operator="containsText" text="WEB SERVICE">
      <formula>NOT(ISERROR(SEARCH("WEB SERVICE",E44)))</formula>
    </cfRule>
    <cfRule type="containsText" dxfId="1613" priority="7" operator="containsText" text="DB">
      <formula>NOT(ISERROR(SEARCH("DB",E44)))</formula>
    </cfRule>
  </conditionalFormatting>
  <conditionalFormatting sqref="C44">
    <cfRule type="expression" dxfId="1612" priority="9">
      <formula>$B44="HANGUP"</formula>
    </cfRule>
    <cfRule type="expression" dxfId="1611" priority="9">
      <formula>$B44="Dial"</formula>
    </cfRule>
  </conditionalFormatting>
  <conditionalFormatting sqref="C44">
    <cfRule type="expression" dxfId="1610" priority="3">
      <formula>$B44="Speak"</formula>
    </cfRule>
  </conditionalFormatting>
  <conditionalFormatting sqref="B36:B38 B40:B41">
    <cfRule type="containsText" dxfId="1609" priority="2" operator="containsText" text="Hear">
      <formula>NOT(ISERROR(SEARCH("Hear",B36)))</formula>
    </cfRule>
  </conditionalFormatting>
  <conditionalFormatting sqref="B19:B29 B31:B35 B42">
    <cfRule type="containsText" dxfId="1608" priority="5" operator="containsText" text="Hear">
      <formula>NOT(ISERROR(SEARCH("Hear",B19)))</formula>
    </cfRule>
  </conditionalFormatting>
  <hyperlinks>
    <hyperlink ref="A1" location="'Test Case Overview'!A1" display="Return to Test Case Overview" xr:uid="{00000000-0004-0000-8C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0" id="{3A47C30C-6FCE-4FC4-AA7E-063B6432201D}">
            <xm:f>'TC1'!$B8="Dial"</xm:f>
            <x14:dxf>
              <font>
                <b/>
                <i val="0"/>
                <color rgb="FFFF0000"/>
              </font>
            </x14:dxf>
          </x14:cfRule>
          <x14:cfRule type="expression" priority="10" id="{72D1E8D4-BD66-45A4-9F16-019AACD1BA1C}">
            <xm:f>'TC1'!$B8="HANGUP"</xm:f>
            <x14:dxf>
              <font>
                <b/>
                <i val="0"/>
              </font>
            </x14:dxf>
          </x14:cfRule>
          <xm:sqref>C8</xm:sqref>
        </x14:conditionalFormatting>
        <x14:conditionalFormatting xmlns:xm="http://schemas.microsoft.com/office/excel/2006/main">
          <x14:cfRule type="expression" priority="11" id="{6B452177-DA84-4C9A-AC72-9E096E54C29B}">
            <xm:f>'TC1'!$B8="Speak"</xm:f>
            <x14:dxf>
              <font>
                <b/>
                <i val="0"/>
                <color rgb="FFFF0000"/>
              </font>
            </x14:dxf>
          </x14:cfRule>
          <xm:sqref>C8</xm:sqref>
        </x14:conditionalFormatting>
        <x14:conditionalFormatting xmlns:xm="http://schemas.microsoft.com/office/excel/2006/main">
          <x14:cfRule type="containsText" priority="12" operator="containsText" text="DB" id="{535AB821-8B73-4DBB-B607-2BD224B98275}">
            <xm:f>NOT(ISERROR(SEARCH("DB",'TC1'!E10)))</xm:f>
            <x14:dxf>
              <font>
                <color rgb="FF006100"/>
              </font>
              <fill>
                <patternFill>
                  <bgColor rgb="FFC6EFCE"/>
                </patternFill>
              </fill>
            </x14:dxf>
          </x14:cfRule>
          <x14:cfRule type="containsText" priority="12" operator="containsText" text="WEB SERVICE" id="{802E0521-57D5-401F-89F7-5AF789CEFD21}">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containsText" priority="14" operator="containsText" text="Hear" id="{C615E3E2-31B8-49E5-AFA1-31CFD8571EB2}">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066" id="{3A47C30C-6FCE-4FC4-AA7E-063B6432201D}">
            <xm:f>'TC1'!$B14="Dial"</xm:f>
            <x14:dxf>
              <font>
                <b/>
                <i val="0"/>
                <color rgb="FFFF0000"/>
              </font>
            </x14:dxf>
          </x14:cfRule>
          <x14:cfRule type="expression" priority="3067" id="{72D1E8D4-BD66-45A4-9F16-019AACD1BA1C}">
            <xm:f>'TC1'!$B14="HANGUP"</xm:f>
            <x14:dxf>
              <font>
                <b/>
                <i val="0"/>
              </font>
            </x14:dxf>
          </x14:cfRule>
          <xm:sqref>C34:C43</xm:sqref>
        </x14:conditionalFormatting>
        <x14:conditionalFormatting xmlns:xm="http://schemas.microsoft.com/office/excel/2006/main">
          <x14:cfRule type="expression" priority="3068" id="{3A47C30C-6FCE-4FC4-AA7E-063B6432201D}">
            <xm:f>'TC1'!#REF!="Dial"</xm:f>
            <x14:dxf>
              <font>
                <b/>
                <i val="0"/>
                <color rgb="FFFF0000"/>
              </font>
            </x14:dxf>
          </x14:cfRule>
          <x14:cfRule type="expression" priority="3069" id="{72D1E8D4-BD66-45A4-9F16-019AACD1BA1C}">
            <xm:f>'TC1'!#REF!="HANGUP"</xm:f>
            <x14:dxf>
              <font>
                <b/>
                <i val="0"/>
              </font>
            </x14:dxf>
          </x14:cfRule>
          <xm:sqref>C13:C33</xm:sqref>
        </x14:conditionalFormatting>
        <x14:conditionalFormatting xmlns:xm="http://schemas.microsoft.com/office/excel/2006/main">
          <x14:cfRule type="expression" priority="3073" id="{6B452177-DA84-4C9A-AC72-9E096E54C29B}">
            <xm:f>'TC1'!$B14="Speak"</xm:f>
            <x14:dxf>
              <font>
                <b/>
                <i val="0"/>
                <color rgb="FFFF0000"/>
              </font>
            </x14:dxf>
          </x14:cfRule>
          <xm:sqref>C34:C43</xm:sqref>
        </x14:conditionalFormatting>
        <x14:conditionalFormatting xmlns:xm="http://schemas.microsoft.com/office/excel/2006/main">
          <x14:cfRule type="expression" priority="3074" id="{6B452177-DA84-4C9A-AC72-9E096E54C29B}">
            <xm:f>'TC1'!#REF!="Speak"</xm:f>
            <x14:dxf>
              <font>
                <b/>
                <i val="0"/>
                <color rgb="FFFF0000"/>
              </font>
            </x14:dxf>
          </x14:cfRule>
          <xm:sqref>C13:C33</xm:sqref>
        </x14:conditionalFormatting>
        <x14:conditionalFormatting xmlns:xm="http://schemas.microsoft.com/office/excel/2006/main">
          <x14:cfRule type="containsText" priority="3078" operator="containsText" text="DB" id="{535AB821-8B73-4DBB-B607-2BD224B98275}">
            <xm:f>NOT(ISERROR(SEARCH("DB",'TC1'!E14)))</xm:f>
            <x14:dxf>
              <font>
                <color rgb="FF006100"/>
              </font>
              <fill>
                <patternFill>
                  <bgColor rgb="FFC6EFCE"/>
                </patternFill>
              </fill>
            </x14:dxf>
          </x14:cfRule>
          <x14:cfRule type="containsText" priority="3079" operator="containsText" text="WEB SERVICE" id="{802E0521-57D5-401F-89F7-5AF789CEFD21}">
            <xm:f>NOT(ISERROR(SEARCH("WEB SERVICE",'TC1'!E14)))</xm:f>
            <x14:dxf>
              <font>
                <color rgb="FF9C0006"/>
              </font>
              <fill>
                <patternFill>
                  <bgColor rgb="FFFFC7CE"/>
                </patternFill>
              </fill>
            </x14:dxf>
          </x14:cfRule>
          <xm:sqref>E34:E43</xm:sqref>
        </x14:conditionalFormatting>
        <x14:conditionalFormatting xmlns:xm="http://schemas.microsoft.com/office/excel/2006/main">
          <x14:cfRule type="containsText" priority="3080" operator="containsText" text="DB" id="{535AB821-8B73-4DBB-B607-2BD224B98275}">
            <xm:f>NOT(ISERROR(SEARCH("DB",'TC1'!#REF!)))</xm:f>
            <x14:dxf>
              <font>
                <color rgb="FF006100"/>
              </font>
              <fill>
                <patternFill>
                  <bgColor rgb="FFC6EFCE"/>
                </patternFill>
              </fill>
            </x14:dxf>
          </x14:cfRule>
          <x14:cfRule type="containsText" priority="3081" operator="containsText" text="WEB SERVICE" id="{802E0521-57D5-401F-89F7-5AF789CEFD21}">
            <xm:f>NOT(ISERROR(SEARCH("WEB SERVICE",'TC1'!#REF!)))</xm:f>
            <x14:dxf>
              <font>
                <color rgb="FF9C0006"/>
              </font>
              <fill>
                <patternFill>
                  <bgColor rgb="FFFFC7CE"/>
                </patternFill>
              </fill>
            </x14:dxf>
          </x14:cfRule>
          <xm:sqref>E13:E33</xm:sqref>
        </x14:conditionalFormatting>
        <x14:conditionalFormatting xmlns:xm="http://schemas.microsoft.com/office/excel/2006/main">
          <x14:cfRule type="expression" priority="4478" id="{3A47C30C-6FCE-4FC4-AA7E-063B6432201D}">
            <xm:f>'TC1'!$B10="Dial"</xm:f>
            <x14:dxf>
              <font>
                <b/>
                <i val="0"/>
                <color rgb="FFFF0000"/>
              </font>
            </x14:dxf>
          </x14:cfRule>
          <x14:cfRule type="expression" priority="4479" id="{72D1E8D4-BD66-45A4-9F16-019AACD1BA1C}">
            <xm:f>'TC1'!$B10="HANGUP"</xm:f>
            <x14:dxf>
              <font>
                <b/>
                <i val="0"/>
              </font>
            </x14:dxf>
          </x14:cfRule>
          <xm:sqref>C9:C12</xm:sqref>
        </x14:conditionalFormatting>
        <x14:conditionalFormatting xmlns:xm="http://schemas.microsoft.com/office/excel/2006/main">
          <x14:cfRule type="expression" priority="4481" id="{6B452177-DA84-4C9A-AC72-9E096E54C29B}">
            <xm:f>'TC1'!$B10="Speak"</xm:f>
            <x14:dxf>
              <font>
                <b/>
                <i val="0"/>
                <color rgb="FFFF0000"/>
              </font>
            </x14:dxf>
          </x14:cfRule>
          <xm:sqref>C9:C12</xm:sqref>
        </x14:conditionalFormatting>
        <x14:conditionalFormatting xmlns:xm="http://schemas.microsoft.com/office/excel/2006/main">
          <x14:cfRule type="containsText" priority="6378" operator="containsText" text="Hear" id="{0C86C1E8-2C08-4227-8052-4068DE02FAFA}">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sheetPr codeName="Sheet143"/>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TC141</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VLOOKUP(Table257519913140106110151155170178190[[#This Row],[PEG]],Table1016[#All],2,FALSE)</f>
        <v>#N/A</v>
      </c>
      <c r="D9" s="125"/>
      <c r="E9" s="122" t="e">
        <f>VLOOKUP(Table257519913140106110151155170178190[[#This Row],[PEG]],Table1016[#All],3,FALSE)</f>
        <v>#N/A</v>
      </c>
    </row>
    <row r="10" spans="1:5">
      <c r="A10" s="114">
        <v>3</v>
      </c>
      <c r="B10" s="110" t="s">
        <v>115</v>
      </c>
      <c r="C10" s="105" t="e">
        <f>VLOOKUP(Table257519913140106110151155170178190[[#This Row],[PEG]],Table1016[#All],2,FALSE)</f>
        <v>#N/A</v>
      </c>
      <c r="D10" s="125"/>
      <c r="E10" s="122" t="e">
        <f>VLOOKUP(Table257519913140106110151155170178190[[#This Row],[PEG]],Table1016[#All],3,FALSE)</f>
        <v>#N/A</v>
      </c>
    </row>
    <row r="11" spans="1:5">
      <c r="A11" s="114">
        <v>4</v>
      </c>
      <c r="B11" s="110" t="s">
        <v>115</v>
      </c>
      <c r="C11" s="105" t="e">
        <f>VLOOKUP(Table257519913140106110151155170178190[[#This Row],[PEG]],Table1016[#All],2,FALSE)</f>
        <v>#N/A</v>
      </c>
      <c r="D11" s="125"/>
      <c r="E11" s="122" t="e">
        <f>VLOOKUP(Table257519913140106110151155170178190[[#This Row],[PEG]],Table1016[#All],3,FALSE)</f>
        <v>#N/A</v>
      </c>
    </row>
    <row r="12" spans="1:5">
      <c r="A12" s="114">
        <v>5</v>
      </c>
      <c r="B12" s="110" t="s">
        <v>114</v>
      </c>
      <c r="C12" s="105" t="e">
        <f>VLOOKUP(Table257519913140106110151155170178190[[#This Row],[PEG]],Table1016[#All],2,FALSE)</f>
        <v>#N/A</v>
      </c>
      <c r="D12" s="125"/>
      <c r="E12" s="122" t="e">
        <f>VLOOKUP(Table257519913140106110151155170178190[[#This Row],[PEG]],Table1016[#All],3,FALSE)</f>
        <v>#N/A</v>
      </c>
    </row>
    <row r="13" spans="1:5">
      <c r="A13" s="114">
        <v>6</v>
      </c>
      <c r="B13" s="110" t="s">
        <v>115</v>
      </c>
      <c r="C13" s="105" t="e">
        <f>VLOOKUP(Table257519913140106110151155170178190[[#This Row],[PEG]],Table1016[#All],2,FALSE)</f>
        <v>#N/A</v>
      </c>
      <c r="D13" s="125"/>
      <c r="E13" s="122" t="e">
        <f>VLOOKUP(Table257519913140106110151155170178190[[#This Row],[PEG]],Table1016[#All],3,FALSE)</f>
        <v>#N/A</v>
      </c>
    </row>
    <row r="14" spans="1:5">
      <c r="A14" s="114">
        <v>7</v>
      </c>
      <c r="B14" s="110" t="s">
        <v>114</v>
      </c>
      <c r="C14" s="105" t="e">
        <f>VLOOKUP(Table257519913140106110151155170178190[[#This Row],[PEG]],Table1016[#All],2,FALSE)</f>
        <v>#N/A</v>
      </c>
      <c r="D14" s="125"/>
      <c r="E14" s="122" t="e">
        <f>VLOOKUP(Table257519913140106110151155170178190[[#This Row],[PEG]],Table1016[#All],3,FALSE)</f>
        <v>#N/A</v>
      </c>
    </row>
    <row r="15" spans="1:5">
      <c r="A15" s="114">
        <v>8</v>
      </c>
      <c r="B15" s="110" t="s">
        <v>115</v>
      </c>
      <c r="C15" s="105" t="e">
        <f>VLOOKUP(Table257519913140106110151155170178190[[#This Row],[PEG]],Table1016[#All],2,FALSE)</f>
        <v>#N/A</v>
      </c>
      <c r="D15" s="112"/>
      <c r="E15" s="122" t="e">
        <f>VLOOKUP(Table257519913140106110151155170178190[[#This Row],[PEG]],Table1016[#All],3,FALSE)</f>
        <v>#N/A</v>
      </c>
    </row>
    <row r="16" spans="1:5">
      <c r="A16" s="114">
        <v>9</v>
      </c>
      <c r="B16" s="110" t="s">
        <v>12</v>
      </c>
      <c r="C16" s="105" t="e">
        <f>VLOOKUP(Table257519913140106110151155170178190[[#This Row],[PEG]],Table1016[#All],2,FALSE)</f>
        <v>#N/A</v>
      </c>
      <c r="D16" s="112"/>
      <c r="E16" s="122" t="e">
        <f>VLOOKUP(Table257519913140106110151155170178190[[#This Row],[PEG]],Table1016[#All],3,FALSE)</f>
        <v>#N/A</v>
      </c>
    </row>
    <row r="17" spans="1:5">
      <c r="A17" s="114">
        <v>10</v>
      </c>
      <c r="B17" s="110" t="s">
        <v>12</v>
      </c>
      <c r="C17" s="105" t="e">
        <f>VLOOKUP(Table257519913140106110151155170178190[[#This Row],[PEG]],Table1016[#All],2,FALSE)</f>
        <v>#N/A</v>
      </c>
      <c r="D17" s="113"/>
      <c r="E17" s="122" t="e">
        <f>VLOOKUP(Table257519913140106110151155170178190[[#This Row],[PEG]],Table1016[#All],3,FALSE)</f>
        <v>#N/A</v>
      </c>
    </row>
    <row r="18" spans="1:5">
      <c r="A18" s="114">
        <v>11</v>
      </c>
      <c r="B18" s="110" t="s">
        <v>115</v>
      </c>
      <c r="C18" s="105" t="e">
        <f>VLOOKUP(Table257519913140106110151155170178190[[#This Row],[PEG]],Table1016[#All],2,FALSE)</f>
        <v>#N/A</v>
      </c>
      <c r="D18" s="113"/>
      <c r="E18" s="122" t="e">
        <f>VLOOKUP(Table257519913140106110151155170178190[[#This Row],[PEG]],Table1016[#All],3,FALSE)</f>
        <v>#N/A</v>
      </c>
    </row>
    <row r="19" spans="1:5">
      <c r="A19" s="114">
        <v>12</v>
      </c>
      <c r="B19" s="110" t="s">
        <v>115</v>
      </c>
      <c r="C19" s="105" t="e">
        <f>VLOOKUP(Table257519913140106110151155170178190[[#This Row],[PEG]],Table1016[#All],2,FALSE)</f>
        <v>#N/A</v>
      </c>
      <c r="D19" s="113"/>
      <c r="E19" s="122" t="e">
        <f>VLOOKUP(Table257519913140106110151155170178190[[#This Row],[PEG]],Table1016[#All],3,FALSE)</f>
        <v>#N/A</v>
      </c>
    </row>
    <row r="20" spans="1:5">
      <c r="A20" s="114">
        <v>13</v>
      </c>
      <c r="B20" s="110" t="s">
        <v>114</v>
      </c>
      <c r="C20" s="105" t="e">
        <f>VLOOKUP(Table257519913140106110151155170178190[[#This Row],[PEG]],Table1016[#All],2,FALSE)</f>
        <v>#N/A</v>
      </c>
      <c r="D20" s="113"/>
      <c r="E20" s="122" t="e">
        <f>VLOOKUP(Table257519913140106110151155170178190[[#This Row],[PEG]],Table1016[#All],3,FALSE)</f>
        <v>#N/A</v>
      </c>
    </row>
    <row r="21" spans="1:5">
      <c r="A21" s="114">
        <v>14</v>
      </c>
      <c r="B21" s="110" t="s">
        <v>12</v>
      </c>
      <c r="C21" s="105" t="e">
        <f>VLOOKUP(Table257519913140106110151155170178190[[#This Row],[PEG]],Table1016[#All],2,FALSE)</f>
        <v>#N/A</v>
      </c>
      <c r="D21" s="113"/>
      <c r="E21" s="122" t="e">
        <f>VLOOKUP(Table257519913140106110151155170178190[[#This Row],[PEG]],Table1016[#All],3,FALSE)</f>
        <v>#N/A</v>
      </c>
    </row>
    <row r="22" spans="1:5">
      <c r="A22" s="114">
        <v>15</v>
      </c>
      <c r="B22" s="110" t="s">
        <v>12</v>
      </c>
      <c r="C22" s="105" t="e">
        <f>VLOOKUP(Table257519913140106110151155170178190[[#This Row],[PEG]],Table1016[#All],2,FALSE)</f>
        <v>#N/A</v>
      </c>
      <c r="D22" s="113"/>
      <c r="E22" s="122" t="e">
        <f>VLOOKUP(Table257519913140106110151155170178190[[#This Row],[PEG]],Table1016[#All],3,FALSE)</f>
        <v>#N/A</v>
      </c>
    </row>
    <row r="23" spans="1:5">
      <c r="A23" s="114">
        <v>16</v>
      </c>
      <c r="B23" s="110" t="s">
        <v>115</v>
      </c>
      <c r="C23" s="105" t="e">
        <f>VLOOKUP(Table257519913140106110151155170178190[[#This Row],[PEG]],Table1016[#All],2,FALSE)</f>
        <v>#N/A</v>
      </c>
      <c r="D23" s="113"/>
      <c r="E23" s="122" t="e">
        <f>VLOOKUP(Table257519913140106110151155170178190[[#This Row],[PEG]],Table1016[#All],3,FALSE)</f>
        <v>#N/A</v>
      </c>
    </row>
    <row r="24" spans="1:5">
      <c r="A24" s="114">
        <v>17</v>
      </c>
      <c r="B24" s="110" t="s">
        <v>114</v>
      </c>
      <c r="C24" s="105" t="e">
        <f>VLOOKUP(Table257519913140106110151155170178190[[#This Row],[PEG]],Table1016[#All],2,FALSE)</f>
        <v>#N/A</v>
      </c>
      <c r="D24" s="113"/>
      <c r="E24" s="122" t="e">
        <f>VLOOKUP(Table257519913140106110151155170178190[[#This Row],[PEG]],Table1016[#All],3,FALSE)</f>
        <v>#N/A</v>
      </c>
    </row>
    <row r="25" spans="1:5">
      <c r="A25" s="114">
        <v>18</v>
      </c>
      <c r="B25" s="110" t="s">
        <v>12</v>
      </c>
      <c r="C25" s="105" t="e">
        <f>VLOOKUP(Table257519913140106110151155170178190[[#This Row],[PEG]],Table1016[#All],2,FALSE)</f>
        <v>#N/A</v>
      </c>
      <c r="D25" s="113"/>
      <c r="E25" s="122" t="e">
        <f>VLOOKUP(Table257519913140106110151155170178190[[#This Row],[PEG]],Table1016[#All],3,FALSE)</f>
        <v>#N/A</v>
      </c>
    </row>
    <row r="26" spans="1:5">
      <c r="A26" s="114">
        <v>19</v>
      </c>
      <c r="B26" s="110" t="s">
        <v>12</v>
      </c>
      <c r="C26" s="105" t="e">
        <f>VLOOKUP(Table257519913140106110151155170178190[[#This Row],[PEG]],Table1016[#All],2,FALSE)</f>
        <v>#N/A</v>
      </c>
      <c r="D26" s="113"/>
      <c r="E26" s="122" t="e">
        <f>VLOOKUP(Table257519913140106110151155170178190[[#This Row],[PEG]],Table1016[#All],3,FALSE)</f>
        <v>#N/A</v>
      </c>
    </row>
    <row r="27" spans="1:5">
      <c r="A27" s="114">
        <v>20</v>
      </c>
      <c r="B27" s="110" t="s">
        <v>115</v>
      </c>
      <c r="C27" s="105" t="e">
        <f>VLOOKUP(Table257519913140106110151155170178190[[#This Row],[PEG]],Table1016[#All],2,FALSE)</f>
        <v>#N/A</v>
      </c>
      <c r="D27" s="113"/>
      <c r="E27" s="122" t="e">
        <f>VLOOKUP(Table257519913140106110151155170178190[[#This Row],[PEG]],Table1016[#All],3,FALSE)</f>
        <v>#N/A</v>
      </c>
    </row>
    <row r="28" spans="1:5">
      <c r="A28" s="114">
        <v>21</v>
      </c>
      <c r="B28" s="110" t="s">
        <v>114</v>
      </c>
      <c r="C28" s="105" t="e">
        <f>VLOOKUP(Table257519913140106110151155170178190[[#This Row],[PEG]],Table1016[#All],2,FALSE)</f>
        <v>#N/A</v>
      </c>
      <c r="D28" s="113"/>
      <c r="E28" s="122" t="e">
        <f>VLOOKUP(Table257519913140106110151155170178190[[#This Row],[PEG]],Table1016[#All],3,FALSE)</f>
        <v>#N/A</v>
      </c>
    </row>
    <row r="29" spans="1:5">
      <c r="A29" s="114">
        <v>22</v>
      </c>
      <c r="B29" s="110" t="s">
        <v>12</v>
      </c>
      <c r="C29" s="105" t="e">
        <f>VLOOKUP(Table257519913140106110151155170178190[[#This Row],[PEG]],Table1016[#All],2,FALSE)</f>
        <v>#N/A</v>
      </c>
      <c r="D29" s="113"/>
      <c r="E29" s="122" t="e">
        <f>VLOOKUP(Table257519913140106110151155170178190[[#This Row],[PEG]],Table1016[#All],3,FALSE)</f>
        <v>#N/A</v>
      </c>
    </row>
    <row r="30" spans="1:5">
      <c r="A30" s="114">
        <v>23</v>
      </c>
      <c r="B30" s="110" t="s">
        <v>12</v>
      </c>
      <c r="C30" s="105" t="e">
        <f>VLOOKUP(Table257519913140106110151155170178190[[#This Row],[PEG]],Table1016[#All],2,FALSE)</f>
        <v>#N/A</v>
      </c>
      <c r="D30" s="113"/>
      <c r="E30" s="122" t="e">
        <f>VLOOKUP(Table257519913140106110151155170178190[[#This Row],[PEG]],Table1016[#All],3,FALSE)</f>
        <v>#N/A</v>
      </c>
    </row>
    <row r="31" spans="1:5">
      <c r="A31" s="114">
        <v>24</v>
      </c>
      <c r="B31" s="110" t="s">
        <v>115</v>
      </c>
      <c r="C31" s="105" t="e">
        <f>VLOOKUP(Table257519913140106110151155170178190[[#This Row],[PEG]],Table1016[#All],2,FALSE)</f>
        <v>#N/A</v>
      </c>
      <c r="D31" s="113"/>
      <c r="E31" s="122" t="e">
        <f>VLOOKUP(Table257519913140106110151155170178190[[#This Row],[PEG]],Table1016[#All],3,FALSE)</f>
        <v>#N/A</v>
      </c>
    </row>
    <row r="32" spans="1:5">
      <c r="A32" s="114">
        <v>25</v>
      </c>
      <c r="B32" s="110" t="s">
        <v>115</v>
      </c>
      <c r="C32" s="105" t="e">
        <f>VLOOKUP(Table257519913140106110151155170178190[[#This Row],[PEG]],Table1016[#All],2,FALSE)</f>
        <v>#N/A</v>
      </c>
      <c r="D32" s="113"/>
      <c r="E32" s="122" t="e">
        <f>VLOOKUP(Table257519913140106110151155170178190[[#This Row],[PEG]],Table1016[#All],3,FALSE)</f>
        <v>#N/A</v>
      </c>
    </row>
    <row r="33" spans="1:5">
      <c r="A33" s="114">
        <v>26</v>
      </c>
      <c r="B33" s="110" t="s">
        <v>124</v>
      </c>
      <c r="C33" s="105" t="e">
        <f>VLOOKUP(Table257519913140106110151155170178190[[#This Row],[PEG]],Table1016[#All],2,FALSE)</f>
        <v>#N/A</v>
      </c>
      <c r="D33" s="113"/>
      <c r="E33" s="122" t="e">
        <f>VLOOKUP(Table257519913140106110151155170178190[[#This Row],[PEG]],Table1016[#All],3,FALSE)</f>
        <v>#N/A</v>
      </c>
    </row>
    <row r="34" spans="1:5">
      <c r="A34" s="114">
        <v>27</v>
      </c>
      <c r="B34" s="110" t="s">
        <v>115</v>
      </c>
      <c r="C34" s="105" t="e">
        <f>VLOOKUP(Table257519913140106110151155170178190[[#This Row],[PEG]],Table1016[#All],2,FALSE)</f>
        <v>#N/A</v>
      </c>
      <c r="D34" s="113"/>
      <c r="E34" s="122" t="e">
        <f>VLOOKUP(Table257519913140106110151155170178190[[#This Row],[PEG]],Table1016[#All],3,FALSE)</f>
        <v>#N/A</v>
      </c>
    </row>
    <row r="35" spans="1:5">
      <c r="A35" s="114">
        <v>28</v>
      </c>
      <c r="B35" s="110" t="s">
        <v>124</v>
      </c>
      <c r="C35" s="105" t="e">
        <f>VLOOKUP(Table257519913140106110151155170178190[[#This Row],[PEG]],Table1016[#All],2,FALSE)</f>
        <v>#N/A</v>
      </c>
      <c r="D35" s="113"/>
      <c r="E35" s="122" t="e">
        <f>VLOOKUP(Table257519913140106110151155170178190[[#This Row],[PEG]],Table1016[#All],3,FALSE)</f>
        <v>#N/A</v>
      </c>
    </row>
    <row r="36" spans="1:5">
      <c r="A36" s="114">
        <v>29</v>
      </c>
      <c r="B36" s="110" t="s">
        <v>115</v>
      </c>
      <c r="C36" s="105" t="e">
        <f>VLOOKUP(Table257519913140106110151155170178190[[#This Row],[PEG]],Table1016[#All],2,FALSE)</f>
        <v>#N/A</v>
      </c>
      <c r="D36" s="113"/>
      <c r="E36" s="122" t="e">
        <f>VLOOKUP(Table257519913140106110151155170178190[[#This Row],[PEG]],Table1016[#All],3,FALSE)</f>
        <v>#N/A</v>
      </c>
    </row>
    <row r="37" spans="1:5">
      <c r="A37" s="114">
        <v>30</v>
      </c>
      <c r="B37" s="110" t="s">
        <v>12</v>
      </c>
      <c r="C37" s="105" t="e">
        <f>VLOOKUP(Table257519913140106110151155170178190[[#This Row],[PEG]],Table1016[#All],2,FALSE)</f>
        <v>#N/A</v>
      </c>
      <c r="D37" s="113"/>
      <c r="E37" s="122" t="e">
        <f>VLOOKUP(Table257519913140106110151155170178190[[#This Row],[PEG]],Table1016[#All],3,FALSE)</f>
        <v>#N/A</v>
      </c>
    </row>
    <row r="38" spans="1:5">
      <c r="A38" s="114">
        <v>31</v>
      </c>
      <c r="B38" s="110" t="s">
        <v>12</v>
      </c>
      <c r="C38" s="105" t="e">
        <f>VLOOKUP(Table257519913140106110151155170178190[[#This Row],[PEG]],Table1016[#All],2,FALSE)</f>
        <v>#N/A</v>
      </c>
      <c r="D38" s="113"/>
      <c r="E38" s="122" t="e">
        <f>VLOOKUP(Table257519913140106110151155170178190[[#This Row],[PEG]],Table1016[#All],3,FALSE)</f>
        <v>#N/A</v>
      </c>
    </row>
    <row r="39" spans="1:5">
      <c r="A39" s="114">
        <v>32</v>
      </c>
      <c r="B39" s="110" t="s">
        <v>12</v>
      </c>
      <c r="C39" s="105" t="e">
        <f>VLOOKUP(Table257519913140106110151155170178190[[#This Row],[PEG]],Table1016[#All],2,FALSE)</f>
        <v>#N/A</v>
      </c>
      <c r="D39" s="113"/>
      <c r="E39" s="122" t="e">
        <f>VLOOKUP(Table257519913140106110151155170178190[[#This Row],[PEG]],Table1016[#All],3,FALSE)</f>
        <v>#N/A</v>
      </c>
    </row>
    <row r="40" spans="1:5">
      <c r="A40" s="114">
        <v>33</v>
      </c>
      <c r="B40" s="110" t="s">
        <v>12</v>
      </c>
      <c r="C40" s="105" t="e">
        <f>VLOOKUP(Table257519913140106110151155170178190[[#This Row],[PEG]],Table1016[#All],2,FALSE)</f>
        <v>#N/A</v>
      </c>
      <c r="D40" s="113"/>
      <c r="E40" s="122" t="e">
        <f>VLOOKUP(Table257519913140106110151155170178190[[#This Row],[PEG]],Table1016[#All],3,FALSE)</f>
        <v>#N/A</v>
      </c>
    </row>
    <row r="41" spans="1:5">
      <c r="A41" s="114">
        <v>34</v>
      </c>
      <c r="B41" s="110" t="s">
        <v>115</v>
      </c>
      <c r="C41" s="105" t="e">
        <f>VLOOKUP(Table257519913140106110151155170178190[[#This Row],[PEG]],Table1016[#All],2,FALSE)</f>
        <v>#N/A</v>
      </c>
      <c r="D41" s="113"/>
      <c r="E41" s="122" t="e">
        <f>VLOOKUP(Table257519913140106110151155170178190[[#This Row],[PEG]],Table1016[#All],3,FALSE)</f>
        <v>#N/A</v>
      </c>
    </row>
    <row r="42" spans="1:5">
      <c r="A42" s="114">
        <v>35</v>
      </c>
      <c r="B42" s="110" t="s">
        <v>12</v>
      </c>
      <c r="C42" s="105" t="e">
        <f>VLOOKUP(Table257519913140106110151155170178190[[#This Row],[PEG]],Table1016[#All],2,FALSE)</f>
        <v>#N/A</v>
      </c>
      <c r="D42" s="111"/>
      <c r="E42" s="122" t="e">
        <f>VLOOKUP(Table257519913140106110151155170178190[[#This Row],[PEG]],Table1016[#All],3,FALSE)</f>
        <v>#N/A</v>
      </c>
    </row>
    <row r="43" spans="1:5">
      <c r="A43" s="114">
        <v>36</v>
      </c>
      <c r="B43" s="110" t="s">
        <v>115</v>
      </c>
      <c r="C43" s="105" t="e">
        <f>VLOOKUP(Table257519913140106110151155170178190[[#This Row],[PEG]],Table1016[#All],2,FALSE)</f>
        <v>#N/A</v>
      </c>
      <c r="D43" s="111"/>
      <c r="E43" s="122" t="e">
        <f>VLOOKUP(Table257519913140106110151155170178190[[#This Row],[PEG]],Table1016[#All],3,FALSE)</f>
        <v>#N/A</v>
      </c>
    </row>
    <row r="44" spans="1:5">
      <c r="A44" s="114">
        <v>37</v>
      </c>
      <c r="B44" s="110" t="s">
        <v>13</v>
      </c>
      <c r="C44" s="17" t="s">
        <v>13</v>
      </c>
      <c r="D44" s="111"/>
      <c r="E44" s="31"/>
    </row>
  </sheetData>
  <mergeCells count="1">
    <mergeCell ref="A1:B1"/>
  </mergeCells>
  <conditionalFormatting sqref="B8:B18">
    <cfRule type="containsText" dxfId="1578" priority="1" operator="containsText" text="Hear">
      <formula>NOT(ISERROR(SEARCH("Hear",B8)))</formula>
    </cfRule>
  </conditionalFormatting>
  <conditionalFormatting sqref="B30">
    <cfRule type="containsText" dxfId="1577" priority="4" operator="containsText" text="Hear">
      <formula>NOT(ISERROR(SEARCH("Hear",B30)))</formula>
    </cfRule>
  </conditionalFormatting>
  <conditionalFormatting sqref="B43:B44">
    <cfRule type="containsText" dxfId="1576" priority="8" operator="containsText" text="Hear">
      <formula>NOT(ISERROR(SEARCH("Hear",B43)))</formula>
    </cfRule>
  </conditionalFormatting>
  <conditionalFormatting sqref="E44">
    <cfRule type="containsText" dxfId="1575" priority="6" operator="containsText" text="WEB SERVICE">
      <formula>NOT(ISERROR(SEARCH("WEB SERVICE",E44)))</formula>
    </cfRule>
    <cfRule type="containsText" dxfId="1574" priority="7" operator="containsText" text="DB">
      <formula>NOT(ISERROR(SEARCH("DB",E44)))</formula>
    </cfRule>
  </conditionalFormatting>
  <conditionalFormatting sqref="C44">
    <cfRule type="expression" dxfId="1573" priority="9">
      <formula>$B44="HANGUP"</formula>
    </cfRule>
    <cfRule type="expression" dxfId="1572" priority="9">
      <formula>$B44="Dial"</formula>
    </cfRule>
  </conditionalFormatting>
  <conditionalFormatting sqref="C44">
    <cfRule type="expression" dxfId="1571" priority="3">
      <formula>$B44="Speak"</formula>
    </cfRule>
  </conditionalFormatting>
  <conditionalFormatting sqref="B36:B38 B40:B41">
    <cfRule type="containsText" dxfId="1570" priority="2" operator="containsText" text="Hear">
      <formula>NOT(ISERROR(SEARCH("Hear",B36)))</formula>
    </cfRule>
  </conditionalFormatting>
  <conditionalFormatting sqref="B19:B29 B31:B35 B42">
    <cfRule type="containsText" dxfId="1569" priority="5" operator="containsText" text="Hear">
      <formula>NOT(ISERROR(SEARCH("Hear",B19)))</formula>
    </cfRule>
  </conditionalFormatting>
  <hyperlinks>
    <hyperlink ref="A1" location="'Test Case Overview'!A1" display="Return to Test Case Overview" xr:uid="{00000000-0004-0000-8D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0" id="{B62E2ACA-513F-4FB1-9872-1E318E7F2470}">
            <xm:f>'TC1'!$B8="Dial"</xm:f>
            <x14:dxf>
              <font>
                <b/>
                <i val="0"/>
                <color rgb="FFFF0000"/>
              </font>
            </x14:dxf>
          </x14:cfRule>
          <x14:cfRule type="expression" priority="10" id="{184E526B-A6F0-4561-9569-7A9258BBE9EE}">
            <xm:f>'TC1'!$B8="HANGUP"</xm:f>
            <x14:dxf>
              <font>
                <b/>
                <i val="0"/>
              </font>
            </x14:dxf>
          </x14:cfRule>
          <xm:sqref>C8</xm:sqref>
        </x14:conditionalFormatting>
        <x14:conditionalFormatting xmlns:xm="http://schemas.microsoft.com/office/excel/2006/main">
          <x14:cfRule type="expression" priority="11" id="{FC339BB4-8EC9-4D3A-8B13-C97D75AD712C}">
            <xm:f>'TC1'!$B8="Speak"</xm:f>
            <x14:dxf>
              <font>
                <b/>
                <i val="0"/>
                <color rgb="FFFF0000"/>
              </font>
            </x14:dxf>
          </x14:cfRule>
          <xm:sqref>C8</xm:sqref>
        </x14:conditionalFormatting>
        <x14:conditionalFormatting xmlns:xm="http://schemas.microsoft.com/office/excel/2006/main">
          <x14:cfRule type="containsText" priority="12" operator="containsText" text="DB" id="{7E92DDEC-8FC8-4AC6-83DE-8CBA42353A45}">
            <xm:f>NOT(ISERROR(SEARCH("DB",'TC1'!E10)))</xm:f>
            <x14:dxf>
              <font>
                <color rgb="FF006100"/>
              </font>
              <fill>
                <patternFill>
                  <bgColor rgb="FFC6EFCE"/>
                </patternFill>
              </fill>
            </x14:dxf>
          </x14:cfRule>
          <x14:cfRule type="containsText" priority="12" operator="containsText" text="WEB SERVICE" id="{FD836703-BF96-4023-AFC8-FA47F999A188}">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containsText" priority="14" operator="containsText" text="Hear" id="{5CDD4DA7-6AFD-4C52-A1A9-8D5ADD82464E}">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086" id="{B62E2ACA-513F-4FB1-9872-1E318E7F2470}">
            <xm:f>'TC1'!$B14="Dial"</xm:f>
            <x14:dxf>
              <font>
                <b/>
                <i val="0"/>
                <color rgb="FFFF0000"/>
              </font>
            </x14:dxf>
          </x14:cfRule>
          <x14:cfRule type="expression" priority="3087" id="{184E526B-A6F0-4561-9569-7A9258BBE9EE}">
            <xm:f>'TC1'!$B14="HANGUP"</xm:f>
            <x14:dxf>
              <font>
                <b/>
                <i val="0"/>
              </font>
            </x14:dxf>
          </x14:cfRule>
          <xm:sqref>C34:C43</xm:sqref>
        </x14:conditionalFormatting>
        <x14:conditionalFormatting xmlns:xm="http://schemas.microsoft.com/office/excel/2006/main">
          <x14:cfRule type="expression" priority="3088" id="{B62E2ACA-513F-4FB1-9872-1E318E7F2470}">
            <xm:f>'TC1'!#REF!="Dial"</xm:f>
            <x14:dxf>
              <font>
                <b/>
                <i val="0"/>
                <color rgb="FFFF0000"/>
              </font>
            </x14:dxf>
          </x14:cfRule>
          <x14:cfRule type="expression" priority="3089" id="{184E526B-A6F0-4561-9569-7A9258BBE9EE}">
            <xm:f>'TC1'!#REF!="HANGUP"</xm:f>
            <x14:dxf>
              <font>
                <b/>
                <i val="0"/>
              </font>
            </x14:dxf>
          </x14:cfRule>
          <xm:sqref>C13:C33</xm:sqref>
        </x14:conditionalFormatting>
        <x14:conditionalFormatting xmlns:xm="http://schemas.microsoft.com/office/excel/2006/main">
          <x14:cfRule type="expression" priority="3093" id="{FC339BB4-8EC9-4D3A-8B13-C97D75AD712C}">
            <xm:f>'TC1'!$B14="Speak"</xm:f>
            <x14:dxf>
              <font>
                <b/>
                <i val="0"/>
                <color rgb="FFFF0000"/>
              </font>
            </x14:dxf>
          </x14:cfRule>
          <xm:sqref>C34:C43</xm:sqref>
        </x14:conditionalFormatting>
        <x14:conditionalFormatting xmlns:xm="http://schemas.microsoft.com/office/excel/2006/main">
          <x14:cfRule type="expression" priority="3094" id="{FC339BB4-8EC9-4D3A-8B13-C97D75AD712C}">
            <xm:f>'TC1'!#REF!="Speak"</xm:f>
            <x14:dxf>
              <font>
                <b/>
                <i val="0"/>
                <color rgb="FFFF0000"/>
              </font>
            </x14:dxf>
          </x14:cfRule>
          <xm:sqref>C13:C33</xm:sqref>
        </x14:conditionalFormatting>
        <x14:conditionalFormatting xmlns:xm="http://schemas.microsoft.com/office/excel/2006/main">
          <x14:cfRule type="containsText" priority="3098" operator="containsText" text="DB" id="{7E92DDEC-8FC8-4AC6-83DE-8CBA42353A45}">
            <xm:f>NOT(ISERROR(SEARCH("DB",'TC1'!E14)))</xm:f>
            <x14:dxf>
              <font>
                <color rgb="FF006100"/>
              </font>
              <fill>
                <patternFill>
                  <bgColor rgb="FFC6EFCE"/>
                </patternFill>
              </fill>
            </x14:dxf>
          </x14:cfRule>
          <x14:cfRule type="containsText" priority="3099" operator="containsText" text="WEB SERVICE" id="{FD836703-BF96-4023-AFC8-FA47F999A188}">
            <xm:f>NOT(ISERROR(SEARCH("WEB SERVICE",'TC1'!E14)))</xm:f>
            <x14:dxf>
              <font>
                <color rgb="FF9C0006"/>
              </font>
              <fill>
                <patternFill>
                  <bgColor rgb="FFFFC7CE"/>
                </patternFill>
              </fill>
            </x14:dxf>
          </x14:cfRule>
          <xm:sqref>E34:E43</xm:sqref>
        </x14:conditionalFormatting>
        <x14:conditionalFormatting xmlns:xm="http://schemas.microsoft.com/office/excel/2006/main">
          <x14:cfRule type="containsText" priority="3100" operator="containsText" text="DB" id="{7E92DDEC-8FC8-4AC6-83DE-8CBA42353A45}">
            <xm:f>NOT(ISERROR(SEARCH("DB",'TC1'!#REF!)))</xm:f>
            <x14:dxf>
              <font>
                <color rgb="FF006100"/>
              </font>
              <fill>
                <patternFill>
                  <bgColor rgb="FFC6EFCE"/>
                </patternFill>
              </fill>
            </x14:dxf>
          </x14:cfRule>
          <x14:cfRule type="containsText" priority="3101" operator="containsText" text="WEB SERVICE" id="{FD836703-BF96-4023-AFC8-FA47F999A188}">
            <xm:f>NOT(ISERROR(SEARCH("WEB SERVICE",'TC1'!#REF!)))</xm:f>
            <x14:dxf>
              <font>
                <color rgb="FF9C0006"/>
              </font>
              <fill>
                <patternFill>
                  <bgColor rgb="FFFFC7CE"/>
                </patternFill>
              </fill>
            </x14:dxf>
          </x14:cfRule>
          <xm:sqref>E13:E33</xm:sqref>
        </x14:conditionalFormatting>
        <x14:conditionalFormatting xmlns:xm="http://schemas.microsoft.com/office/excel/2006/main">
          <x14:cfRule type="expression" priority="4486" id="{B62E2ACA-513F-4FB1-9872-1E318E7F2470}">
            <xm:f>'TC1'!$B10="Dial"</xm:f>
            <x14:dxf>
              <font>
                <b/>
                <i val="0"/>
                <color rgb="FFFF0000"/>
              </font>
            </x14:dxf>
          </x14:cfRule>
          <x14:cfRule type="expression" priority="4487" id="{184E526B-A6F0-4561-9569-7A9258BBE9EE}">
            <xm:f>'TC1'!$B10="HANGUP"</xm:f>
            <x14:dxf>
              <font>
                <b/>
                <i val="0"/>
              </font>
            </x14:dxf>
          </x14:cfRule>
          <xm:sqref>C9:C12</xm:sqref>
        </x14:conditionalFormatting>
        <x14:conditionalFormatting xmlns:xm="http://schemas.microsoft.com/office/excel/2006/main">
          <x14:cfRule type="expression" priority="4489" id="{FC339BB4-8EC9-4D3A-8B13-C97D75AD712C}">
            <xm:f>'TC1'!$B10="Speak"</xm:f>
            <x14:dxf>
              <font>
                <b/>
                <i val="0"/>
                <color rgb="FFFF0000"/>
              </font>
            </x14:dxf>
          </x14:cfRule>
          <xm:sqref>C9:C12</xm:sqref>
        </x14:conditionalFormatting>
        <x14:conditionalFormatting xmlns:xm="http://schemas.microsoft.com/office/excel/2006/main">
          <x14:cfRule type="containsText" priority="6393" operator="containsText" text="Hear" id="{3AB887D3-C3FF-4971-B8EC-645BFEC1C7CB}">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sheetPr codeName="Sheet144"/>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TC142</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VLOOKUP(Table257519913140106110151155170178192[[#This Row],[PEG]],Table1016[#All],2,FALSE)</f>
        <v>#N/A</v>
      </c>
      <c r="D9" s="125"/>
      <c r="E9" s="122" t="e">
        <f>VLOOKUP(Table257519913140106110151155170178192[[#This Row],[PEG]],Table1016[#All],3,FALSE)</f>
        <v>#N/A</v>
      </c>
    </row>
    <row r="10" spans="1:5">
      <c r="A10" s="114">
        <v>3</v>
      </c>
      <c r="B10" s="110" t="s">
        <v>115</v>
      </c>
      <c r="C10" s="105" t="e">
        <f>VLOOKUP(Table257519913140106110151155170178192[[#This Row],[PEG]],Table1016[#All],2,FALSE)</f>
        <v>#N/A</v>
      </c>
      <c r="D10" s="125"/>
      <c r="E10" s="122" t="e">
        <f>VLOOKUP(Table257519913140106110151155170178192[[#This Row],[PEG]],Table1016[#All],3,FALSE)</f>
        <v>#N/A</v>
      </c>
    </row>
    <row r="11" spans="1:5">
      <c r="A11" s="114">
        <v>4</v>
      </c>
      <c r="B11" s="110" t="s">
        <v>115</v>
      </c>
      <c r="C11" s="105" t="e">
        <f>VLOOKUP(Table257519913140106110151155170178192[[#This Row],[PEG]],Table1016[#All],2,FALSE)</f>
        <v>#N/A</v>
      </c>
      <c r="D11" s="125"/>
      <c r="E11" s="122" t="e">
        <f>VLOOKUP(Table257519913140106110151155170178192[[#This Row],[PEG]],Table1016[#All],3,FALSE)</f>
        <v>#N/A</v>
      </c>
    </row>
    <row r="12" spans="1:5">
      <c r="A12" s="114">
        <v>5</v>
      </c>
      <c r="B12" s="110" t="s">
        <v>114</v>
      </c>
      <c r="C12" s="105" t="e">
        <f>VLOOKUP(Table257519913140106110151155170178192[[#This Row],[PEG]],Table1016[#All],2,FALSE)</f>
        <v>#N/A</v>
      </c>
      <c r="D12" s="125"/>
      <c r="E12" s="122" t="e">
        <f>VLOOKUP(Table257519913140106110151155170178192[[#This Row],[PEG]],Table1016[#All],3,FALSE)</f>
        <v>#N/A</v>
      </c>
    </row>
    <row r="13" spans="1:5">
      <c r="A13" s="114">
        <v>6</v>
      </c>
      <c r="B13" s="110" t="s">
        <v>115</v>
      </c>
      <c r="C13" s="105" t="e">
        <f>VLOOKUP(Table257519913140106110151155170178192[[#This Row],[PEG]],Table1016[#All],2,FALSE)</f>
        <v>#N/A</v>
      </c>
      <c r="D13" s="125"/>
      <c r="E13" s="122" t="e">
        <f>VLOOKUP(Table257519913140106110151155170178192[[#This Row],[PEG]],Table1016[#All],3,FALSE)</f>
        <v>#N/A</v>
      </c>
    </row>
    <row r="14" spans="1:5">
      <c r="A14" s="114">
        <v>7</v>
      </c>
      <c r="B14" s="110" t="s">
        <v>114</v>
      </c>
      <c r="C14" s="105" t="e">
        <f>VLOOKUP(Table257519913140106110151155170178192[[#This Row],[PEG]],Table1016[#All],2,FALSE)</f>
        <v>#N/A</v>
      </c>
      <c r="D14" s="125"/>
      <c r="E14" s="122" t="e">
        <f>VLOOKUP(Table257519913140106110151155170178192[[#This Row],[PEG]],Table1016[#All],3,FALSE)</f>
        <v>#N/A</v>
      </c>
    </row>
    <row r="15" spans="1:5">
      <c r="A15" s="114">
        <v>8</v>
      </c>
      <c r="B15" s="110" t="s">
        <v>115</v>
      </c>
      <c r="C15" s="105" t="e">
        <f>VLOOKUP(Table257519913140106110151155170178192[[#This Row],[PEG]],Table1016[#All],2,FALSE)</f>
        <v>#N/A</v>
      </c>
      <c r="D15" s="112"/>
      <c r="E15" s="122" t="e">
        <f>VLOOKUP(Table257519913140106110151155170178192[[#This Row],[PEG]],Table1016[#All],3,FALSE)</f>
        <v>#N/A</v>
      </c>
    </row>
    <row r="16" spans="1:5">
      <c r="A16" s="114">
        <v>9</v>
      </c>
      <c r="B16" s="110" t="s">
        <v>12</v>
      </c>
      <c r="C16" s="105" t="e">
        <f>VLOOKUP(Table257519913140106110151155170178192[[#This Row],[PEG]],Table1016[#All],2,FALSE)</f>
        <v>#N/A</v>
      </c>
      <c r="D16" s="112"/>
      <c r="E16" s="122" t="e">
        <f>VLOOKUP(Table257519913140106110151155170178192[[#This Row],[PEG]],Table1016[#All],3,FALSE)</f>
        <v>#N/A</v>
      </c>
    </row>
    <row r="17" spans="1:5">
      <c r="A17" s="114">
        <v>10</v>
      </c>
      <c r="B17" s="110" t="s">
        <v>12</v>
      </c>
      <c r="C17" s="105" t="e">
        <f>VLOOKUP(Table257519913140106110151155170178192[[#This Row],[PEG]],Table1016[#All],2,FALSE)</f>
        <v>#N/A</v>
      </c>
      <c r="D17" s="113"/>
      <c r="E17" s="122" t="e">
        <f>VLOOKUP(Table257519913140106110151155170178192[[#This Row],[PEG]],Table1016[#All],3,FALSE)</f>
        <v>#N/A</v>
      </c>
    </row>
    <row r="18" spans="1:5">
      <c r="A18" s="114">
        <v>11</v>
      </c>
      <c r="B18" s="110" t="s">
        <v>115</v>
      </c>
      <c r="C18" s="105" t="e">
        <f>VLOOKUP(Table257519913140106110151155170178192[[#This Row],[PEG]],Table1016[#All],2,FALSE)</f>
        <v>#N/A</v>
      </c>
      <c r="D18" s="113"/>
      <c r="E18" s="122" t="e">
        <f>VLOOKUP(Table257519913140106110151155170178192[[#This Row],[PEG]],Table1016[#All],3,FALSE)</f>
        <v>#N/A</v>
      </c>
    </row>
    <row r="19" spans="1:5">
      <c r="A19" s="114">
        <v>12</v>
      </c>
      <c r="B19" s="110" t="s">
        <v>115</v>
      </c>
      <c r="C19" s="105" t="e">
        <f>VLOOKUP(Table257519913140106110151155170178192[[#This Row],[PEG]],Table1016[#All],2,FALSE)</f>
        <v>#N/A</v>
      </c>
      <c r="D19" s="113"/>
      <c r="E19" s="122" t="e">
        <f>VLOOKUP(Table257519913140106110151155170178192[[#This Row],[PEG]],Table1016[#All],3,FALSE)</f>
        <v>#N/A</v>
      </c>
    </row>
    <row r="20" spans="1:5">
      <c r="A20" s="114">
        <v>13</v>
      </c>
      <c r="B20" s="110" t="s">
        <v>114</v>
      </c>
      <c r="C20" s="105" t="e">
        <f>VLOOKUP(Table257519913140106110151155170178192[[#This Row],[PEG]],Table1016[#All],2,FALSE)</f>
        <v>#N/A</v>
      </c>
      <c r="D20" s="113"/>
      <c r="E20" s="122" t="e">
        <f>VLOOKUP(Table257519913140106110151155170178192[[#This Row],[PEG]],Table1016[#All],3,FALSE)</f>
        <v>#N/A</v>
      </c>
    </row>
    <row r="21" spans="1:5">
      <c r="A21" s="114">
        <v>14</v>
      </c>
      <c r="B21" s="110" t="s">
        <v>12</v>
      </c>
      <c r="C21" s="105" t="e">
        <f>VLOOKUP(Table257519913140106110151155170178192[[#This Row],[PEG]],Table1016[#All],2,FALSE)</f>
        <v>#N/A</v>
      </c>
      <c r="D21" s="113"/>
      <c r="E21" s="122" t="e">
        <f>VLOOKUP(Table257519913140106110151155170178192[[#This Row],[PEG]],Table1016[#All],3,FALSE)</f>
        <v>#N/A</v>
      </c>
    </row>
    <row r="22" spans="1:5">
      <c r="A22" s="114">
        <v>15</v>
      </c>
      <c r="B22" s="110" t="s">
        <v>12</v>
      </c>
      <c r="C22" s="105" t="e">
        <f>VLOOKUP(Table257519913140106110151155170178192[[#This Row],[PEG]],Table1016[#All],2,FALSE)</f>
        <v>#N/A</v>
      </c>
      <c r="D22" s="113"/>
      <c r="E22" s="122" t="e">
        <f>VLOOKUP(Table257519913140106110151155170178192[[#This Row],[PEG]],Table1016[#All],3,FALSE)</f>
        <v>#N/A</v>
      </c>
    </row>
    <row r="23" spans="1:5">
      <c r="A23" s="114">
        <v>16</v>
      </c>
      <c r="B23" s="110" t="s">
        <v>115</v>
      </c>
      <c r="C23" s="105" t="e">
        <f>VLOOKUP(Table257519913140106110151155170178192[[#This Row],[PEG]],Table1016[#All],2,FALSE)</f>
        <v>#N/A</v>
      </c>
      <c r="D23" s="113"/>
      <c r="E23" s="122" t="e">
        <f>VLOOKUP(Table257519913140106110151155170178192[[#This Row],[PEG]],Table1016[#All],3,FALSE)</f>
        <v>#N/A</v>
      </c>
    </row>
    <row r="24" spans="1:5">
      <c r="A24" s="114">
        <v>17</v>
      </c>
      <c r="B24" s="110" t="s">
        <v>114</v>
      </c>
      <c r="C24" s="105" t="e">
        <f>VLOOKUP(Table257519913140106110151155170178192[[#This Row],[PEG]],Table1016[#All],2,FALSE)</f>
        <v>#N/A</v>
      </c>
      <c r="D24" s="113"/>
      <c r="E24" s="122" t="e">
        <f>VLOOKUP(Table257519913140106110151155170178192[[#This Row],[PEG]],Table1016[#All],3,FALSE)</f>
        <v>#N/A</v>
      </c>
    </row>
    <row r="25" spans="1:5">
      <c r="A25" s="114">
        <v>18</v>
      </c>
      <c r="B25" s="110" t="s">
        <v>12</v>
      </c>
      <c r="C25" s="105" t="e">
        <f>VLOOKUP(Table257519913140106110151155170178192[[#This Row],[PEG]],Table1016[#All],2,FALSE)</f>
        <v>#N/A</v>
      </c>
      <c r="D25" s="113"/>
      <c r="E25" s="122" t="e">
        <f>VLOOKUP(Table257519913140106110151155170178192[[#This Row],[PEG]],Table1016[#All],3,FALSE)</f>
        <v>#N/A</v>
      </c>
    </row>
    <row r="26" spans="1:5">
      <c r="A26" s="114">
        <v>19</v>
      </c>
      <c r="B26" s="110" t="s">
        <v>12</v>
      </c>
      <c r="C26" s="105" t="e">
        <f>VLOOKUP(Table257519913140106110151155170178192[[#This Row],[PEG]],Table1016[#All],2,FALSE)</f>
        <v>#N/A</v>
      </c>
      <c r="D26" s="113"/>
      <c r="E26" s="122" t="e">
        <f>VLOOKUP(Table257519913140106110151155170178192[[#This Row],[PEG]],Table1016[#All],3,FALSE)</f>
        <v>#N/A</v>
      </c>
    </row>
    <row r="27" spans="1:5">
      <c r="A27" s="114">
        <v>20</v>
      </c>
      <c r="B27" s="110" t="s">
        <v>115</v>
      </c>
      <c r="C27" s="105" t="e">
        <f>VLOOKUP(Table257519913140106110151155170178192[[#This Row],[PEG]],Table1016[#All],2,FALSE)</f>
        <v>#N/A</v>
      </c>
      <c r="D27" s="113"/>
      <c r="E27" s="122" t="e">
        <f>VLOOKUP(Table257519913140106110151155170178192[[#This Row],[PEG]],Table1016[#All],3,FALSE)</f>
        <v>#N/A</v>
      </c>
    </row>
    <row r="28" spans="1:5">
      <c r="A28" s="114">
        <v>21</v>
      </c>
      <c r="B28" s="110" t="s">
        <v>114</v>
      </c>
      <c r="C28" s="105" t="e">
        <f>VLOOKUP(Table257519913140106110151155170178192[[#This Row],[PEG]],Table1016[#All],2,FALSE)</f>
        <v>#N/A</v>
      </c>
      <c r="D28" s="113"/>
      <c r="E28" s="122" t="e">
        <f>VLOOKUP(Table257519913140106110151155170178192[[#This Row],[PEG]],Table1016[#All],3,FALSE)</f>
        <v>#N/A</v>
      </c>
    </row>
    <row r="29" spans="1:5">
      <c r="A29" s="114">
        <v>22</v>
      </c>
      <c r="B29" s="110" t="s">
        <v>12</v>
      </c>
      <c r="C29" s="105" t="e">
        <f>VLOOKUP(Table257519913140106110151155170178192[[#This Row],[PEG]],Table1016[#All],2,FALSE)</f>
        <v>#N/A</v>
      </c>
      <c r="D29" s="113"/>
      <c r="E29" s="122" t="e">
        <f>VLOOKUP(Table257519913140106110151155170178192[[#This Row],[PEG]],Table1016[#All],3,FALSE)</f>
        <v>#N/A</v>
      </c>
    </row>
    <row r="30" spans="1:5">
      <c r="A30" s="114">
        <v>23</v>
      </c>
      <c r="B30" s="110" t="s">
        <v>12</v>
      </c>
      <c r="C30" s="105" t="e">
        <f>VLOOKUP(Table257519913140106110151155170178192[[#This Row],[PEG]],Table1016[#All],2,FALSE)</f>
        <v>#N/A</v>
      </c>
      <c r="D30" s="113"/>
      <c r="E30" s="122" t="e">
        <f>VLOOKUP(Table257519913140106110151155170178192[[#This Row],[PEG]],Table1016[#All],3,FALSE)</f>
        <v>#N/A</v>
      </c>
    </row>
    <row r="31" spans="1:5">
      <c r="A31" s="114">
        <v>24</v>
      </c>
      <c r="B31" s="110" t="s">
        <v>115</v>
      </c>
      <c r="C31" s="105" t="e">
        <f>VLOOKUP(Table257519913140106110151155170178192[[#This Row],[PEG]],Table1016[#All],2,FALSE)</f>
        <v>#N/A</v>
      </c>
      <c r="D31" s="113"/>
      <c r="E31" s="122" t="e">
        <f>VLOOKUP(Table257519913140106110151155170178192[[#This Row],[PEG]],Table1016[#All],3,FALSE)</f>
        <v>#N/A</v>
      </c>
    </row>
    <row r="32" spans="1:5">
      <c r="A32" s="114">
        <v>25</v>
      </c>
      <c r="B32" s="110" t="s">
        <v>115</v>
      </c>
      <c r="C32" s="105" t="e">
        <f>VLOOKUP(Table257519913140106110151155170178192[[#This Row],[PEG]],Table1016[#All],2,FALSE)</f>
        <v>#N/A</v>
      </c>
      <c r="D32" s="113"/>
      <c r="E32" s="122" t="e">
        <f>VLOOKUP(Table257519913140106110151155170178192[[#This Row],[PEG]],Table1016[#All],3,FALSE)</f>
        <v>#N/A</v>
      </c>
    </row>
    <row r="33" spans="1:5">
      <c r="A33" s="114">
        <v>26</v>
      </c>
      <c r="B33" s="110" t="s">
        <v>124</v>
      </c>
      <c r="C33" s="105" t="e">
        <f>VLOOKUP(Table257519913140106110151155170178192[[#This Row],[PEG]],Table1016[#All],2,FALSE)</f>
        <v>#N/A</v>
      </c>
      <c r="D33" s="113"/>
      <c r="E33" s="122" t="e">
        <f>VLOOKUP(Table257519913140106110151155170178192[[#This Row],[PEG]],Table1016[#All],3,FALSE)</f>
        <v>#N/A</v>
      </c>
    </row>
    <row r="34" spans="1:5">
      <c r="A34" s="114">
        <v>27</v>
      </c>
      <c r="B34" s="110" t="s">
        <v>115</v>
      </c>
      <c r="C34" s="105" t="e">
        <f>VLOOKUP(Table257519913140106110151155170178192[[#This Row],[PEG]],Table1016[#All],2,FALSE)</f>
        <v>#N/A</v>
      </c>
      <c r="D34" s="113"/>
      <c r="E34" s="122" t="e">
        <f>VLOOKUP(Table257519913140106110151155170178192[[#This Row],[PEG]],Table1016[#All],3,FALSE)</f>
        <v>#N/A</v>
      </c>
    </row>
    <row r="35" spans="1:5">
      <c r="A35" s="114">
        <v>28</v>
      </c>
      <c r="B35" s="110" t="s">
        <v>124</v>
      </c>
      <c r="C35" s="105" t="e">
        <f>VLOOKUP(Table257519913140106110151155170178192[[#This Row],[PEG]],Table1016[#All],2,FALSE)</f>
        <v>#N/A</v>
      </c>
      <c r="D35" s="113"/>
      <c r="E35" s="122" t="e">
        <f>VLOOKUP(Table257519913140106110151155170178192[[#This Row],[PEG]],Table1016[#All],3,FALSE)</f>
        <v>#N/A</v>
      </c>
    </row>
    <row r="36" spans="1:5">
      <c r="A36" s="114">
        <v>29</v>
      </c>
      <c r="B36" s="110" t="s">
        <v>115</v>
      </c>
      <c r="C36" s="105" t="e">
        <f>VLOOKUP(Table257519913140106110151155170178192[[#This Row],[PEG]],Table1016[#All],2,FALSE)</f>
        <v>#N/A</v>
      </c>
      <c r="D36" s="113"/>
      <c r="E36" s="122" t="e">
        <f>VLOOKUP(Table257519913140106110151155170178192[[#This Row],[PEG]],Table1016[#All],3,FALSE)</f>
        <v>#N/A</v>
      </c>
    </row>
    <row r="37" spans="1:5">
      <c r="A37" s="114">
        <v>30</v>
      </c>
      <c r="B37" s="110" t="s">
        <v>12</v>
      </c>
      <c r="C37" s="105" t="e">
        <f>VLOOKUP(Table257519913140106110151155170178192[[#This Row],[PEG]],Table1016[#All],2,FALSE)</f>
        <v>#N/A</v>
      </c>
      <c r="D37" s="113"/>
      <c r="E37" s="122" t="e">
        <f>VLOOKUP(Table257519913140106110151155170178192[[#This Row],[PEG]],Table1016[#All],3,FALSE)</f>
        <v>#N/A</v>
      </c>
    </row>
    <row r="38" spans="1:5">
      <c r="A38" s="114">
        <v>31</v>
      </c>
      <c r="B38" s="110" t="s">
        <v>12</v>
      </c>
      <c r="C38" s="105" t="e">
        <f>VLOOKUP(Table257519913140106110151155170178192[[#This Row],[PEG]],Table1016[#All],2,FALSE)</f>
        <v>#N/A</v>
      </c>
      <c r="D38" s="113"/>
      <c r="E38" s="122" t="e">
        <f>VLOOKUP(Table257519913140106110151155170178192[[#This Row],[PEG]],Table1016[#All],3,FALSE)</f>
        <v>#N/A</v>
      </c>
    </row>
    <row r="39" spans="1:5">
      <c r="A39" s="114">
        <v>32</v>
      </c>
      <c r="B39" s="110" t="s">
        <v>12</v>
      </c>
      <c r="C39" s="105" t="e">
        <f>VLOOKUP(Table257519913140106110151155170178192[[#This Row],[PEG]],Table1016[#All],2,FALSE)</f>
        <v>#N/A</v>
      </c>
      <c r="D39" s="113"/>
      <c r="E39" s="122" t="e">
        <f>VLOOKUP(Table257519913140106110151155170178192[[#This Row],[PEG]],Table1016[#All],3,FALSE)</f>
        <v>#N/A</v>
      </c>
    </row>
    <row r="40" spans="1:5">
      <c r="A40" s="114">
        <v>33</v>
      </c>
      <c r="B40" s="110" t="s">
        <v>12</v>
      </c>
      <c r="C40" s="105" t="e">
        <f>VLOOKUP(Table257519913140106110151155170178192[[#This Row],[PEG]],Table1016[#All],2,FALSE)</f>
        <v>#N/A</v>
      </c>
      <c r="D40" s="113"/>
      <c r="E40" s="122" t="e">
        <f>VLOOKUP(Table257519913140106110151155170178192[[#This Row],[PEG]],Table1016[#All],3,FALSE)</f>
        <v>#N/A</v>
      </c>
    </row>
    <row r="41" spans="1:5">
      <c r="A41" s="114">
        <v>34</v>
      </c>
      <c r="B41" s="110" t="s">
        <v>115</v>
      </c>
      <c r="C41" s="105" t="e">
        <f>VLOOKUP(Table257519913140106110151155170178192[[#This Row],[PEG]],Table1016[#All],2,FALSE)</f>
        <v>#N/A</v>
      </c>
      <c r="D41" s="113"/>
      <c r="E41" s="122" t="e">
        <f>VLOOKUP(Table257519913140106110151155170178192[[#This Row],[PEG]],Table1016[#All],3,FALSE)</f>
        <v>#N/A</v>
      </c>
    </row>
    <row r="42" spans="1:5">
      <c r="A42" s="114">
        <v>35</v>
      </c>
      <c r="B42" s="110" t="s">
        <v>12</v>
      </c>
      <c r="C42" s="105" t="e">
        <f>VLOOKUP(Table257519913140106110151155170178192[[#This Row],[PEG]],Table1016[#All],2,FALSE)</f>
        <v>#N/A</v>
      </c>
      <c r="D42" s="111"/>
      <c r="E42" s="122" t="e">
        <f>VLOOKUP(Table257519913140106110151155170178192[[#This Row],[PEG]],Table1016[#All],3,FALSE)</f>
        <v>#N/A</v>
      </c>
    </row>
    <row r="43" spans="1:5">
      <c r="A43" s="114">
        <v>36</v>
      </c>
      <c r="B43" s="110" t="s">
        <v>115</v>
      </c>
      <c r="C43" s="105" t="e">
        <f>VLOOKUP(Table257519913140106110151155170178192[[#This Row],[PEG]],Table1016[#All],2,FALSE)</f>
        <v>#N/A</v>
      </c>
      <c r="D43" s="111"/>
      <c r="E43" s="122" t="e">
        <f>VLOOKUP(Table257519913140106110151155170178192[[#This Row],[PEG]],Table1016[#All],3,FALSE)</f>
        <v>#N/A</v>
      </c>
    </row>
    <row r="44" spans="1:5">
      <c r="A44" s="114">
        <v>37</v>
      </c>
      <c r="B44" s="110" t="s">
        <v>13</v>
      </c>
      <c r="C44" s="17" t="s">
        <v>13</v>
      </c>
      <c r="D44" s="111"/>
      <c r="E44" s="31"/>
    </row>
  </sheetData>
  <mergeCells count="1">
    <mergeCell ref="A1:B1"/>
  </mergeCells>
  <conditionalFormatting sqref="B8:B18">
    <cfRule type="containsText" dxfId="1539" priority="1" operator="containsText" text="Hear">
      <formula>NOT(ISERROR(SEARCH("Hear",B8)))</formula>
    </cfRule>
  </conditionalFormatting>
  <conditionalFormatting sqref="B30">
    <cfRule type="containsText" dxfId="1538" priority="4" operator="containsText" text="Hear">
      <formula>NOT(ISERROR(SEARCH("Hear",B30)))</formula>
    </cfRule>
  </conditionalFormatting>
  <conditionalFormatting sqref="B43:B44">
    <cfRule type="containsText" dxfId="1537" priority="8" operator="containsText" text="Hear">
      <formula>NOT(ISERROR(SEARCH("Hear",B43)))</formula>
    </cfRule>
  </conditionalFormatting>
  <conditionalFormatting sqref="E44">
    <cfRule type="containsText" dxfId="1536" priority="6" operator="containsText" text="WEB SERVICE">
      <formula>NOT(ISERROR(SEARCH("WEB SERVICE",E44)))</formula>
    </cfRule>
    <cfRule type="containsText" dxfId="1535" priority="7" operator="containsText" text="DB">
      <formula>NOT(ISERROR(SEARCH("DB",E44)))</formula>
    </cfRule>
  </conditionalFormatting>
  <conditionalFormatting sqref="C44">
    <cfRule type="expression" dxfId="1534" priority="9">
      <formula>$B44="HANGUP"</formula>
    </cfRule>
    <cfRule type="expression" dxfId="1533" priority="9">
      <formula>$B44="Dial"</formula>
    </cfRule>
  </conditionalFormatting>
  <conditionalFormatting sqref="C44">
    <cfRule type="expression" dxfId="1532" priority="3">
      <formula>$B44="Speak"</formula>
    </cfRule>
  </conditionalFormatting>
  <conditionalFormatting sqref="B36:B38 B40:B41">
    <cfRule type="containsText" dxfId="1531" priority="2" operator="containsText" text="Hear">
      <formula>NOT(ISERROR(SEARCH("Hear",B36)))</formula>
    </cfRule>
  </conditionalFormatting>
  <conditionalFormatting sqref="B19:B29 B31:B35 B42">
    <cfRule type="containsText" dxfId="1530" priority="5" operator="containsText" text="Hear">
      <formula>NOT(ISERROR(SEARCH("Hear",B19)))</formula>
    </cfRule>
  </conditionalFormatting>
  <hyperlinks>
    <hyperlink ref="A1" location="'Test Case Overview'!A1" display="Return to Test Case Overview" xr:uid="{00000000-0004-0000-8E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0" id="{D9883E45-2BE5-42E4-AC15-7A7E281BAB01}">
            <xm:f>'TC1'!$B8="Dial"</xm:f>
            <x14:dxf>
              <font>
                <b/>
                <i val="0"/>
                <color rgb="FFFF0000"/>
              </font>
            </x14:dxf>
          </x14:cfRule>
          <x14:cfRule type="expression" priority="10" id="{FF70C296-8937-4716-B3FB-DFF2CDBFB4F4}">
            <xm:f>'TC1'!$B8="HANGUP"</xm:f>
            <x14:dxf>
              <font>
                <b/>
                <i val="0"/>
              </font>
            </x14:dxf>
          </x14:cfRule>
          <xm:sqref>C8</xm:sqref>
        </x14:conditionalFormatting>
        <x14:conditionalFormatting xmlns:xm="http://schemas.microsoft.com/office/excel/2006/main">
          <x14:cfRule type="expression" priority="11" id="{90573990-E643-44BA-852C-A7B85257FEB1}">
            <xm:f>'TC1'!$B8="Speak"</xm:f>
            <x14:dxf>
              <font>
                <b/>
                <i val="0"/>
                <color rgb="FFFF0000"/>
              </font>
            </x14:dxf>
          </x14:cfRule>
          <xm:sqref>C8</xm:sqref>
        </x14:conditionalFormatting>
        <x14:conditionalFormatting xmlns:xm="http://schemas.microsoft.com/office/excel/2006/main">
          <x14:cfRule type="containsText" priority="12" operator="containsText" text="DB" id="{678F3211-433D-44A2-AAAD-5C2BA6BC7676}">
            <xm:f>NOT(ISERROR(SEARCH("DB",'TC1'!E10)))</xm:f>
            <x14:dxf>
              <font>
                <color rgb="FF006100"/>
              </font>
              <fill>
                <patternFill>
                  <bgColor rgb="FFC6EFCE"/>
                </patternFill>
              </fill>
            </x14:dxf>
          </x14:cfRule>
          <x14:cfRule type="containsText" priority="12" operator="containsText" text="WEB SERVICE" id="{818B3688-EEB3-462B-B8EB-181FD64228F1}">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containsText" priority="14" operator="containsText" text="Hear" id="{8287C048-1C0A-471E-9810-C9DCB251C005}">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106" id="{D9883E45-2BE5-42E4-AC15-7A7E281BAB01}">
            <xm:f>'TC1'!$B14="Dial"</xm:f>
            <x14:dxf>
              <font>
                <b/>
                <i val="0"/>
                <color rgb="FFFF0000"/>
              </font>
            </x14:dxf>
          </x14:cfRule>
          <x14:cfRule type="expression" priority="3107" id="{FF70C296-8937-4716-B3FB-DFF2CDBFB4F4}">
            <xm:f>'TC1'!$B14="HANGUP"</xm:f>
            <x14:dxf>
              <font>
                <b/>
                <i val="0"/>
              </font>
            </x14:dxf>
          </x14:cfRule>
          <xm:sqref>C34:C43</xm:sqref>
        </x14:conditionalFormatting>
        <x14:conditionalFormatting xmlns:xm="http://schemas.microsoft.com/office/excel/2006/main">
          <x14:cfRule type="expression" priority="3108" id="{D9883E45-2BE5-42E4-AC15-7A7E281BAB01}">
            <xm:f>'TC1'!#REF!="Dial"</xm:f>
            <x14:dxf>
              <font>
                <b/>
                <i val="0"/>
                <color rgb="FFFF0000"/>
              </font>
            </x14:dxf>
          </x14:cfRule>
          <x14:cfRule type="expression" priority="3109" id="{FF70C296-8937-4716-B3FB-DFF2CDBFB4F4}">
            <xm:f>'TC1'!#REF!="HANGUP"</xm:f>
            <x14:dxf>
              <font>
                <b/>
                <i val="0"/>
              </font>
            </x14:dxf>
          </x14:cfRule>
          <xm:sqref>C13:C33</xm:sqref>
        </x14:conditionalFormatting>
        <x14:conditionalFormatting xmlns:xm="http://schemas.microsoft.com/office/excel/2006/main">
          <x14:cfRule type="expression" priority="3113" id="{90573990-E643-44BA-852C-A7B85257FEB1}">
            <xm:f>'TC1'!$B14="Speak"</xm:f>
            <x14:dxf>
              <font>
                <b/>
                <i val="0"/>
                <color rgb="FFFF0000"/>
              </font>
            </x14:dxf>
          </x14:cfRule>
          <xm:sqref>C34:C43</xm:sqref>
        </x14:conditionalFormatting>
        <x14:conditionalFormatting xmlns:xm="http://schemas.microsoft.com/office/excel/2006/main">
          <x14:cfRule type="expression" priority="3114" id="{90573990-E643-44BA-852C-A7B85257FEB1}">
            <xm:f>'TC1'!#REF!="Speak"</xm:f>
            <x14:dxf>
              <font>
                <b/>
                <i val="0"/>
                <color rgb="FFFF0000"/>
              </font>
            </x14:dxf>
          </x14:cfRule>
          <xm:sqref>C13:C33</xm:sqref>
        </x14:conditionalFormatting>
        <x14:conditionalFormatting xmlns:xm="http://schemas.microsoft.com/office/excel/2006/main">
          <x14:cfRule type="containsText" priority="3118" operator="containsText" text="DB" id="{678F3211-433D-44A2-AAAD-5C2BA6BC7676}">
            <xm:f>NOT(ISERROR(SEARCH("DB",'TC1'!E14)))</xm:f>
            <x14:dxf>
              <font>
                <color rgb="FF006100"/>
              </font>
              <fill>
                <patternFill>
                  <bgColor rgb="FFC6EFCE"/>
                </patternFill>
              </fill>
            </x14:dxf>
          </x14:cfRule>
          <x14:cfRule type="containsText" priority="3119" operator="containsText" text="WEB SERVICE" id="{818B3688-EEB3-462B-B8EB-181FD64228F1}">
            <xm:f>NOT(ISERROR(SEARCH("WEB SERVICE",'TC1'!E14)))</xm:f>
            <x14:dxf>
              <font>
                <color rgb="FF9C0006"/>
              </font>
              <fill>
                <patternFill>
                  <bgColor rgb="FFFFC7CE"/>
                </patternFill>
              </fill>
            </x14:dxf>
          </x14:cfRule>
          <xm:sqref>E34:E43</xm:sqref>
        </x14:conditionalFormatting>
        <x14:conditionalFormatting xmlns:xm="http://schemas.microsoft.com/office/excel/2006/main">
          <x14:cfRule type="containsText" priority="3120" operator="containsText" text="DB" id="{678F3211-433D-44A2-AAAD-5C2BA6BC7676}">
            <xm:f>NOT(ISERROR(SEARCH("DB",'TC1'!#REF!)))</xm:f>
            <x14:dxf>
              <font>
                <color rgb="FF006100"/>
              </font>
              <fill>
                <patternFill>
                  <bgColor rgb="FFC6EFCE"/>
                </patternFill>
              </fill>
            </x14:dxf>
          </x14:cfRule>
          <x14:cfRule type="containsText" priority="3121" operator="containsText" text="WEB SERVICE" id="{818B3688-EEB3-462B-B8EB-181FD64228F1}">
            <xm:f>NOT(ISERROR(SEARCH("WEB SERVICE",'TC1'!#REF!)))</xm:f>
            <x14:dxf>
              <font>
                <color rgb="FF9C0006"/>
              </font>
              <fill>
                <patternFill>
                  <bgColor rgb="FFFFC7CE"/>
                </patternFill>
              </fill>
            </x14:dxf>
          </x14:cfRule>
          <xm:sqref>E13:E33</xm:sqref>
        </x14:conditionalFormatting>
        <x14:conditionalFormatting xmlns:xm="http://schemas.microsoft.com/office/excel/2006/main">
          <x14:cfRule type="expression" priority="4494" id="{D9883E45-2BE5-42E4-AC15-7A7E281BAB01}">
            <xm:f>'TC1'!$B10="Dial"</xm:f>
            <x14:dxf>
              <font>
                <b/>
                <i val="0"/>
                <color rgb="FFFF0000"/>
              </font>
            </x14:dxf>
          </x14:cfRule>
          <x14:cfRule type="expression" priority="4495" id="{FF70C296-8937-4716-B3FB-DFF2CDBFB4F4}">
            <xm:f>'TC1'!$B10="HANGUP"</xm:f>
            <x14:dxf>
              <font>
                <b/>
                <i val="0"/>
              </font>
            </x14:dxf>
          </x14:cfRule>
          <xm:sqref>C9:C12</xm:sqref>
        </x14:conditionalFormatting>
        <x14:conditionalFormatting xmlns:xm="http://schemas.microsoft.com/office/excel/2006/main">
          <x14:cfRule type="expression" priority="4497" id="{90573990-E643-44BA-852C-A7B85257FEB1}">
            <xm:f>'TC1'!$B10="Speak"</xm:f>
            <x14:dxf>
              <font>
                <b/>
                <i val="0"/>
                <color rgb="FFFF0000"/>
              </font>
            </x14:dxf>
          </x14:cfRule>
          <xm:sqref>C9:C12</xm:sqref>
        </x14:conditionalFormatting>
        <x14:conditionalFormatting xmlns:xm="http://schemas.microsoft.com/office/excel/2006/main">
          <x14:cfRule type="containsText" priority="6408" operator="containsText" text="Hear" id="{277F0096-3FAC-4A55-BF24-5C88CE21CD11}">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sheetPr codeName="Sheet145"/>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TC143</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VLOOKUP(Table257519913140106110151155170178194[[#This Row],[PEG]],Table1016[#All],2,FALSE)</f>
        <v>#N/A</v>
      </c>
      <c r="D9" s="125"/>
      <c r="E9" s="122" t="e">
        <f>VLOOKUP(Table257519913140106110151155170178194[[#This Row],[PEG]],Table1016[#All],3,FALSE)</f>
        <v>#N/A</v>
      </c>
    </row>
    <row r="10" spans="1:5">
      <c r="A10" s="114">
        <v>3</v>
      </c>
      <c r="B10" s="110" t="s">
        <v>115</v>
      </c>
      <c r="C10" s="105" t="e">
        <f>VLOOKUP(Table257519913140106110151155170178194[[#This Row],[PEG]],Table1016[#All],2,FALSE)</f>
        <v>#N/A</v>
      </c>
      <c r="D10" s="125"/>
      <c r="E10" s="122" t="e">
        <f>VLOOKUP(Table257519913140106110151155170178194[[#This Row],[PEG]],Table1016[#All],3,FALSE)</f>
        <v>#N/A</v>
      </c>
    </row>
    <row r="11" spans="1:5">
      <c r="A11" s="114">
        <v>4</v>
      </c>
      <c r="B11" s="110" t="s">
        <v>115</v>
      </c>
      <c r="C11" s="105" t="e">
        <f>VLOOKUP(Table257519913140106110151155170178194[[#This Row],[PEG]],Table1016[#All],2,FALSE)</f>
        <v>#N/A</v>
      </c>
      <c r="D11" s="125"/>
      <c r="E11" s="122" t="e">
        <f>VLOOKUP(Table257519913140106110151155170178194[[#This Row],[PEG]],Table1016[#All],3,FALSE)</f>
        <v>#N/A</v>
      </c>
    </row>
    <row r="12" spans="1:5">
      <c r="A12" s="114">
        <v>5</v>
      </c>
      <c r="B12" s="110" t="s">
        <v>114</v>
      </c>
      <c r="C12" s="105" t="e">
        <f>VLOOKUP(Table257519913140106110151155170178194[[#This Row],[PEG]],Table1016[#All],2,FALSE)</f>
        <v>#N/A</v>
      </c>
      <c r="D12" s="125"/>
      <c r="E12" s="122" t="e">
        <f>VLOOKUP(Table257519913140106110151155170178194[[#This Row],[PEG]],Table1016[#All],3,FALSE)</f>
        <v>#N/A</v>
      </c>
    </row>
    <row r="13" spans="1:5">
      <c r="A13" s="114">
        <v>6</v>
      </c>
      <c r="B13" s="110" t="s">
        <v>115</v>
      </c>
      <c r="C13" s="105" t="e">
        <f>VLOOKUP(Table257519913140106110151155170178194[[#This Row],[PEG]],Table1016[#All],2,FALSE)</f>
        <v>#N/A</v>
      </c>
      <c r="D13" s="125"/>
      <c r="E13" s="122" t="e">
        <f>VLOOKUP(Table257519913140106110151155170178194[[#This Row],[PEG]],Table1016[#All],3,FALSE)</f>
        <v>#N/A</v>
      </c>
    </row>
    <row r="14" spans="1:5">
      <c r="A14" s="114">
        <v>7</v>
      </c>
      <c r="B14" s="110" t="s">
        <v>114</v>
      </c>
      <c r="C14" s="105" t="e">
        <f>VLOOKUP(Table257519913140106110151155170178194[[#This Row],[PEG]],Table1016[#All],2,FALSE)</f>
        <v>#N/A</v>
      </c>
      <c r="D14" s="125"/>
      <c r="E14" s="122" t="e">
        <f>VLOOKUP(Table257519913140106110151155170178194[[#This Row],[PEG]],Table1016[#All],3,FALSE)</f>
        <v>#N/A</v>
      </c>
    </row>
    <row r="15" spans="1:5">
      <c r="A15" s="114">
        <v>8</v>
      </c>
      <c r="B15" s="110" t="s">
        <v>115</v>
      </c>
      <c r="C15" s="105" t="e">
        <f>VLOOKUP(Table257519913140106110151155170178194[[#This Row],[PEG]],Table1016[#All],2,FALSE)</f>
        <v>#N/A</v>
      </c>
      <c r="D15" s="112"/>
      <c r="E15" s="122" t="e">
        <f>VLOOKUP(Table257519913140106110151155170178194[[#This Row],[PEG]],Table1016[#All],3,FALSE)</f>
        <v>#N/A</v>
      </c>
    </row>
    <row r="16" spans="1:5">
      <c r="A16" s="114">
        <v>9</v>
      </c>
      <c r="B16" s="110" t="s">
        <v>12</v>
      </c>
      <c r="C16" s="105" t="e">
        <f>VLOOKUP(Table257519913140106110151155170178194[[#This Row],[PEG]],Table1016[#All],2,FALSE)</f>
        <v>#N/A</v>
      </c>
      <c r="D16" s="112"/>
      <c r="E16" s="122" t="e">
        <f>VLOOKUP(Table257519913140106110151155170178194[[#This Row],[PEG]],Table1016[#All],3,FALSE)</f>
        <v>#N/A</v>
      </c>
    </row>
    <row r="17" spans="1:5">
      <c r="A17" s="114">
        <v>10</v>
      </c>
      <c r="B17" s="110" t="s">
        <v>12</v>
      </c>
      <c r="C17" s="105" t="e">
        <f>VLOOKUP(Table257519913140106110151155170178194[[#This Row],[PEG]],Table1016[#All],2,FALSE)</f>
        <v>#N/A</v>
      </c>
      <c r="D17" s="113"/>
      <c r="E17" s="122" t="e">
        <f>VLOOKUP(Table257519913140106110151155170178194[[#This Row],[PEG]],Table1016[#All],3,FALSE)</f>
        <v>#N/A</v>
      </c>
    </row>
    <row r="18" spans="1:5">
      <c r="A18" s="114">
        <v>11</v>
      </c>
      <c r="B18" s="110" t="s">
        <v>115</v>
      </c>
      <c r="C18" s="105" t="e">
        <f>VLOOKUP(Table257519913140106110151155170178194[[#This Row],[PEG]],Table1016[#All],2,FALSE)</f>
        <v>#N/A</v>
      </c>
      <c r="D18" s="113"/>
      <c r="E18" s="122" t="e">
        <f>VLOOKUP(Table257519913140106110151155170178194[[#This Row],[PEG]],Table1016[#All],3,FALSE)</f>
        <v>#N/A</v>
      </c>
    </row>
    <row r="19" spans="1:5">
      <c r="A19" s="114">
        <v>12</v>
      </c>
      <c r="B19" s="110" t="s">
        <v>115</v>
      </c>
      <c r="C19" s="105" t="e">
        <f>VLOOKUP(Table257519913140106110151155170178194[[#This Row],[PEG]],Table1016[#All],2,FALSE)</f>
        <v>#N/A</v>
      </c>
      <c r="D19" s="113"/>
      <c r="E19" s="122" t="e">
        <f>VLOOKUP(Table257519913140106110151155170178194[[#This Row],[PEG]],Table1016[#All],3,FALSE)</f>
        <v>#N/A</v>
      </c>
    </row>
    <row r="20" spans="1:5">
      <c r="A20" s="114">
        <v>13</v>
      </c>
      <c r="B20" s="110" t="s">
        <v>114</v>
      </c>
      <c r="C20" s="105" t="e">
        <f>VLOOKUP(Table257519913140106110151155170178194[[#This Row],[PEG]],Table1016[#All],2,FALSE)</f>
        <v>#N/A</v>
      </c>
      <c r="D20" s="113"/>
      <c r="E20" s="122" t="e">
        <f>VLOOKUP(Table257519913140106110151155170178194[[#This Row],[PEG]],Table1016[#All],3,FALSE)</f>
        <v>#N/A</v>
      </c>
    </row>
    <row r="21" spans="1:5">
      <c r="A21" s="114">
        <v>14</v>
      </c>
      <c r="B21" s="110" t="s">
        <v>12</v>
      </c>
      <c r="C21" s="105" t="e">
        <f>VLOOKUP(Table257519913140106110151155170178194[[#This Row],[PEG]],Table1016[#All],2,FALSE)</f>
        <v>#N/A</v>
      </c>
      <c r="D21" s="113"/>
      <c r="E21" s="122" t="e">
        <f>VLOOKUP(Table257519913140106110151155170178194[[#This Row],[PEG]],Table1016[#All],3,FALSE)</f>
        <v>#N/A</v>
      </c>
    </row>
    <row r="22" spans="1:5">
      <c r="A22" s="114">
        <v>15</v>
      </c>
      <c r="B22" s="110" t="s">
        <v>12</v>
      </c>
      <c r="C22" s="105" t="e">
        <f>VLOOKUP(Table257519913140106110151155170178194[[#This Row],[PEG]],Table1016[#All],2,FALSE)</f>
        <v>#N/A</v>
      </c>
      <c r="D22" s="113"/>
      <c r="E22" s="122" t="e">
        <f>VLOOKUP(Table257519913140106110151155170178194[[#This Row],[PEG]],Table1016[#All],3,FALSE)</f>
        <v>#N/A</v>
      </c>
    </row>
    <row r="23" spans="1:5">
      <c r="A23" s="114">
        <v>16</v>
      </c>
      <c r="B23" s="110" t="s">
        <v>115</v>
      </c>
      <c r="C23" s="105" t="e">
        <f>VLOOKUP(Table257519913140106110151155170178194[[#This Row],[PEG]],Table1016[#All],2,FALSE)</f>
        <v>#N/A</v>
      </c>
      <c r="D23" s="113"/>
      <c r="E23" s="122" t="e">
        <f>VLOOKUP(Table257519913140106110151155170178194[[#This Row],[PEG]],Table1016[#All],3,FALSE)</f>
        <v>#N/A</v>
      </c>
    </row>
    <row r="24" spans="1:5">
      <c r="A24" s="114">
        <v>17</v>
      </c>
      <c r="B24" s="110" t="s">
        <v>114</v>
      </c>
      <c r="C24" s="105" t="e">
        <f>VLOOKUP(Table257519913140106110151155170178194[[#This Row],[PEG]],Table1016[#All],2,FALSE)</f>
        <v>#N/A</v>
      </c>
      <c r="D24" s="113"/>
      <c r="E24" s="122" t="e">
        <f>VLOOKUP(Table257519913140106110151155170178194[[#This Row],[PEG]],Table1016[#All],3,FALSE)</f>
        <v>#N/A</v>
      </c>
    </row>
    <row r="25" spans="1:5">
      <c r="A25" s="114">
        <v>18</v>
      </c>
      <c r="B25" s="110" t="s">
        <v>12</v>
      </c>
      <c r="C25" s="105" t="e">
        <f>VLOOKUP(Table257519913140106110151155170178194[[#This Row],[PEG]],Table1016[#All],2,FALSE)</f>
        <v>#N/A</v>
      </c>
      <c r="D25" s="113"/>
      <c r="E25" s="122" t="e">
        <f>VLOOKUP(Table257519913140106110151155170178194[[#This Row],[PEG]],Table1016[#All],3,FALSE)</f>
        <v>#N/A</v>
      </c>
    </row>
    <row r="26" spans="1:5">
      <c r="A26" s="114">
        <v>19</v>
      </c>
      <c r="B26" s="110" t="s">
        <v>12</v>
      </c>
      <c r="C26" s="105" t="e">
        <f>VLOOKUP(Table257519913140106110151155170178194[[#This Row],[PEG]],Table1016[#All],2,FALSE)</f>
        <v>#N/A</v>
      </c>
      <c r="D26" s="113"/>
      <c r="E26" s="122" t="e">
        <f>VLOOKUP(Table257519913140106110151155170178194[[#This Row],[PEG]],Table1016[#All],3,FALSE)</f>
        <v>#N/A</v>
      </c>
    </row>
    <row r="27" spans="1:5">
      <c r="A27" s="114">
        <v>20</v>
      </c>
      <c r="B27" s="110" t="s">
        <v>115</v>
      </c>
      <c r="C27" s="105" t="e">
        <f>VLOOKUP(Table257519913140106110151155170178194[[#This Row],[PEG]],Table1016[#All],2,FALSE)</f>
        <v>#N/A</v>
      </c>
      <c r="D27" s="113"/>
      <c r="E27" s="122" t="e">
        <f>VLOOKUP(Table257519913140106110151155170178194[[#This Row],[PEG]],Table1016[#All],3,FALSE)</f>
        <v>#N/A</v>
      </c>
    </row>
    <row r="28" spans="1:5">
      <c r="A28" s="114">
        <v>21</v>
      </c>
      <c r="B28" s="110" t="s">
        <v>114</v>
      </c>
      <c r="C28" s="105" t="e">
        <f>VLOOKUP(Table257519913140106110151155170178194[[#This Row],[PEG]],Table1016[#All],2,FALSE)</f>
        <v>#N/A</v>
      </c>
      <c r="D28" s="113"/>
      <c r="E28" s="122" t="e">
        <f>VLOOKUP(Table257519913140106110151155170178194[[#This Row],[PEG]],Table1016[#All],3,FALSE)</f>
        <v>#N/A</v>
      </c>
    </row>
    <row r="29" spans="1:5">
      <c r="A29" s="114">
        <v>22</v>
      </c>
      <c r="B29" s="110" t="s">
        <v>12</v>
      </c>
      <c r="C29" s="105" t="e">
        <f>VLOOKUP(Table257519913140106110151155170178194[[#This Row],[PEG]],Table1016[#All],2,FALSE)</f>
        <v>#N/A</v>
      </c>
      <c r="D29" s="113"/>
      <c r="E29" s="122" t="e">
        <f>VLOOKUP(Table257519913140106110151155170178194[[#This Row],[PEG]],Table1016[#All],3,FALSE)</f>
        <v>#N/A</v>
      </c>
    </row>
    <row r="30" spans="1:5">
      <c r="A30" s="114">
        <v>23</v>
      </c>
      <c r="B30" s="110" t="s">
        <v>12</v>
      </c>
      <c r="C30" s="105" t="e">
        <f>VLOOKUP(Table257519913140106110151155170178194[[#This Row],[PEG]],Table1016[#All],2,FALSE)</f>
        <v>#N/A</v>
      </c>
      <c r="D30" s="113"/>
      <c r="E30" s="122" t="e">
        <f>VLOOKUP(Table257519913140106110151155170178194[[#This Row],[PEG]],Table1016[#All],3,FALSE)</f>
        <v>#N/A</v>
      </c>
    </row>
    <row r="31" spans="1:5">
      <c r="A31" s="114">
        <v>24</v>
      </c>
      <c r="B31" s="110" t="s">
        <v>115</v>
      </c>
      <c r="C31" s="105" t="e">
        <f>VLOOKUP(Table257519913140106110151155170178194[[#This Row],[PEG]],Table1016[#All],2,FALSE)</f>
        <v>#N/A</v>
      </c>
      <c r="D31" s="113"/>
      <c r="E31" s="122" t="e">
        <f>VLOOKUP(Table257519913140106110151155170178194[[#This Row],[PEG]],Table1016[#All],3,FALSE)</f>
        <v>#N/A</v>
      </c>
    </row>
    <row r="32" spans="1:5">
      <c r="A32" s="114">
        <v>25</v>
      </c>
      <c r="B32" s="110" t="s">
        <v>115</v>
      </c>
      <c r="C32" s="105" t="e">
        <f>VLOOKUP(Table257519913140106110151155170178194[[#This Row],[PEG]],Table1016[#All],2,FALSE)</f>
        <v>#N/A</v>
      </c>
      <c r="D32" s="113"/>
      <c r="E32" s="122" t="e">
        <f>VLOOKUP(Table257519913140106110151155170178194[[#This Row],[PEG]],Table1016[#All],3,FALSE)</f>
        <v>#N/A</v>
      </c>
    </row>
    <row r="33" spans="1:5">
      <c r="A33" s="114">
        <v>26</v>
      </c>
      <c r="B33" s="110" t="s">
        <v>124</v>
      </c>
      <c r="C33" s="105" t="e">
        <f>VLOOKUP(Table257519913140106110151155170178194[[#This Row],[PEG]],Table1016[#All],2,FALSE)</f>
        <v>#N/A</v>
      </c>
      <c r="D33" s="113"/>
      <c r="E33" s="122" t="e">
        <f>VLOOKUP(Table257519913140106110151155170178194[[#This Row],[PEG]],Table1016[#All],3,FALSE)</f>
        <v>#N/A</v>
      </c>
    </row>
    <row r="34" spans="1:5">
      <c r="A34" s="114">
        <v>27</v>
      </c>
      <c r="B34" s="110" t="s">
        <v>115</v>
      </c>
      <c r="C34" s="105" t="e">
        <f>VLOOKUP(Table257519913140106110151155170178194[[#This Row],[PEG]],Table1016[#All],2,FALSE)</f>
        <v>#N/A</v>
      </c>
      <c r="D34" s="113"/>
      <c r="E34" s="122" t="e">
        <f>VLOOKUP(Table257519913140106110151155170178194[[#This Row],[PEG]],Table1016[#All],3,FALSE)</f>
        <v>#N/A</v>
      </c>
    </row>
    <row r="35" spans="1:5">
      <c r="A35" s="114">
        <v>28</v>
      </c>
      <c r="B35" s="110" t="s">
        <v>124</v>
      </c>
      <c r="C35" s="105" t="e">
        <f>VLOOKUP(Table257519913140106110151155170178194[[#This Row],[PEG]],Table1016[#All],2,FALSE)</f>
        <v>#N/A</v>
      </c>
      <c r="D35" s="113"/>
      <c r="E35" s="122" t="e">
        <f>VLOOKUP(Table257519913140106110151155170178194[[#This Row],[PEG]],Table1016[#All],3,FALSE)</f>
        <v>#N/A</v>
      </c>
    </row>
    <row r="36" spans="1:5">
      <c r="A36" s="114">
        <v>29</v>
      </c>
      <c r="B36" s="110" t="s">
        <v>115</v>
      </c>
      <c r="C36" s="105" t="e">
        <f>VLOOKUP(Table257519913140106110151155170178194[[#This Row],[PEG]],Table1016[#All],2,FALSE)</f>
        <v>#N/A</v>
      </c>
      <c r="D36" s="113"/>
      <c r="E36" s="122" t="e">
        <f>VLOOKUP(Table257519913140106110151155170178194[[#This Row],[PEG]],Table1016[#All],3,FALSE)</f>
        <v>#N/A</v>
      </c>
    </row>
    <row r="37" spans="1:5">
      <c r="A37" s="114">
        <v>30</v>
      </c>
      <c r="B37" s="110" t="s">
        <v>12</v>
      </c>
      <c r="C37" s="105" t="e">
        <f>VLOOKUP(Table257519913140106110151155170178194[[#This Row],[PEG]],Table1016[#All],2,FALSE)</f>
        <v>#N/A</v>
      </c>
      <c r="D37" s="113"/>
      <c r="E37" s="122" t="e">
        <f>VLOOKUP(Table257519913140106110151155170178194[[#This Row],[PEG]],Table1016[#All],3,FALSE)</f>
        <v>#N/A</v>
      </c>
    </row>
    <row r="38" spans="1:5">
      <c r="A38" s="114">
        <v>31</v>
      </c>
      <c r="B38" s="110" t="s">
        <v>12</v>
      </c>
      <c r="C38" s="105" t="e">
        <f>VLOOKUP(Table257519913140106110151155170178194[[#This Row],[PEG]],Table1016[#All],2,FALSE)</f>
        <v>#N/A</v>
      </c>
      <c r="D38" s="113"/>
      <c r="E38" s="122" t="e">
        <f>VLOOKUP(Table257519913140106110151155170178194[[#This Row],[PEG]],Table1016[#All],3,FALSE)</f>
        <v>#N/A</v>
      </c>
    </row>
    <row r="39" spans="1:5">
      <c r="A39" s="114">
        <v>32</v>
      </c>
      <c r="B39" s="110" t="s">
        <v>12</v>
      </c>
      <c r="C39" s="105" t="e">
        <f>VLOOKUP(Table257519913140106110151155170178194[[#This Row],[PEG]],Table1016[#All],2,FALSE)</f>
        <v>#N/A</v>
      </c>
      <c r="D39" s="113"/>
      <c r="E39" s="122" t="e">
        <f>VLOOKUP(Table257519913140106110151155170178194[[#This Row],[PEG]],Table1016[#All],3,FALSE)</f>
        <v>#N/A</v>
      </c>
    </row>
    <row r="40" spans="1:5">
      <c r="A40" s="114">
        <v>33</v>
      </c>
      <c r="B40" s="110" t="s">
        <v>12</v>
      </c>
      <c r="C40" s="105" t="e">
        <f>VLOOKUP(Table257519913140106110151155170178194[[#This Row],[PEG]],Table1016[#All],2,FALSE)</f>
        <v>#N/A</v>
      </c>
      <c r="D40" s="113"/>
      <c r="E40" s="122" t="e">
        <f>VLOOKUP(Table257519913140106110151155170178194[[#This Row],[PEG]],Table1016[#All],3,FALSE)</f>
        <v>#N/A</v>
      </c>
    </row>
    <row r="41" spans="1:5">
      <c r="A41" s="114">
        <v>34</v>
      </c>
      <c r="B41" s="110" t="s">
        <v>115</v>
      </c>
      <c r="C41" s="105" t="e">
        <f>VLOOKUP(Table257519913140106110151155170178194[[#This Row],[PEG]],Table1016[#All],2,FALSE)</f>
        <v>#N/A</v>
      </c>
      <c r="D41" s="113"/>
      <c r="E41" s="122" t="e">
        <f>VLOOKUP(Table257519913140106110151155170178194[[#This Row],[PEG]],Table1016[#All],3,FALSE)</f>
        <v>#N/A</v>
      </c>
    </row>
    <row r="42" spans="1:5">
      <c r="A42" s="114">
        <v>35</v>
      </c>
      <c r="B42" s="110" t="s">
        <v>12</v>
      </c>
      <c r="C42" s="105" t="e">
        <f>VLOOKUP(Table257519913140106110151155170178194[[#This Row],[PEG]],Table1016[#All],2,FALSE)</f>
        <v>#N/A</v>
      </c>
      <c r="D42" s="111"/>
      <c r="E42" s="122" t="e">
        <f>VLOOKUP(Table257519913140106110151155170178194[[#This Row],[PEG]],Table1016[#All],3,FALSE)</f>
        <v>#N/A</v>
      </c>
    </row>
    <row r="43" spans="1:5">
      <c r="A43" s="114">
        <v>36</v>
      </c>
      <c r="B43" s="110" t="s">
        <v>115</v>
      </c>
      <c r="C43" s="105" t="e">
        <f>VLOOKUP(Table257519913140106110151155170178194[[#This Row],[PEG]],Table1016[#All],2,FALSE)</f>
        <v>#N/A</v>
      </c>
      <c r="D43" s="111"/>
      <c r="E43" s="122" t="e">
        <f>VLOOKUP(Table257519913140106110151155170178194[[#This Row],[PEG]],Table1016[#All],3,FALSE)</f>
        <v>#N/A</v>
      </c>
    </row>
    <row r="44" spans="1:5">
      <c r="A44" s="114">
        <v>37</v>
      </c>
      <c r="B44" s="110" t="s">
        <v>13</v>
      </c>
      <c r="C44" s="17" t="s">
        <v>13</v>
      </c>
      <c r="D44" s="111"/>
      <c r="E44" s="31"/>
    </row>
  </sheetData>
  <mergeCells count="1">
    <mergeCell ref="A1:B1"/>
  </mergeCells>
  <conditionalFormatting sqref="B8:B18">
    <cfRule type="containsText" dxfId="1500" priority="1" operator="containsText" text="Hear">
      <formula>NOT(ISERROR(SEARCH("Hear",B8)))</formula>
    </cfRule>
  </conditionalFormatting>
  <conditionalFormatting sqref="B30">
    <cfRule type="containsText" dxfId="1499" priority="4" operator="containsText" text="Hear">
      <formula>NOT(ISERROR(SEARCH("Hear",B30)))</formula>
    </cfRule>
  </conditionalFormatting>
  <conditionalFormatting sqref="B43:B44">
    <cfRule type="containsText" dxfId="1498" priority="8" operator="containsText" text="Hear">
      <formula>NOT(ISERROR(SEARCH("Hear",B43)))</formula>
    </cfRule>
  </conditionalFormatting>
  <conditionalFormatting sqref="E44">
    <cfRule type="containsText" dxfId="1497" priority="6" operator="containsText" text="WEB SERVICE">
      <formula>NOT(ISERROR(SEARCH("WEB SERVICE",E44)))</formula>
    </cfRule>
    <cfRule type="containsText" dxfId="1496" priority="7" operator="containsText" text="DB">
      <formula>NOT(ISERROR(SEARCH("DB",E44)))</formula>
    </cfRule>
  </conditionalFormatting>
  <conditionalFormatting sqref="C44">
    <cfRule type="expression" dxfId="1495" priority="9">
      <formula>$B44="HANGUP"</formula>
    </cfRule>
    <cfRule type="expression" dxfId="1494" priority="9">
      <formula>$B44="Dial"</formula>
    </cfRule>
  </conditionalFormatting>
  <conditionalFormatting sqref="C44">
    <cfRule type="expression" dxfId="1493" priority="3">
      <formula>$B44="Speak"</formula>
    </cfRule>
  </conditionalFormatting>
  <conditionalFormatting sqref="B36:B38 B40:B41">
    <cfRule type="containsText" dxfId="1492" priority="2" operator="containsText" text="Hear">
      <formula>NOT(ISERROR(SEARCH("Hear",B36)))</formula>
    </cfRule>
  </conditionalFormatting>
  <conditionalFormatting sqref="B19:B29 B31:B35 B42">
    <cfRule type="containsText" dxfId="1491" priority="5" operator="containsText" text="Hear">
      <formula>NOT(ISERROR(SEARCH("Hear",B19)))</formula>
    </cfRule>
  </conditionalFormatting>
  <hyperlinks>
    <hyperlink ref="A1" location="'Test Case Overview'!A1" display="Return to Test Case Overview" xr:uid="{00000000-0004-0000-8F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0" id="{D679FE16-60B0-4D59-8C7E-BA3B33FB072C}">
            <xm:f>'TC1'!$B8="Dial"</xm:f>
            <x14:dxf>
              <font>
                <b/>
                <i val="0"/>
                <color rgb="FFFF0000"/>
              </font>
            </x14:dxf>
          </x14:cfRule>
          <x14:cfRule type="expression" priority="10" id="{23636406-C097-47F2-86C2-5912F2D234B4}">
            <xm:f>'TC1'!$B8="HANGUP"</xm:f>
            <x14:dxf>
              <font>
                <b/>
                <i val="0"/>
              </font>
            </x14:dxf>
          </x14:cfRule>
          <xm:sqref>C8</xm:sqref>
        </x14:conditionalFormatting>
        <x14:conditionalFormatting xmlns:xm="http://schemas.microsoft.com/office/excel/2006/main">
          <x14:cfRule type="expression" priority="11" id="{D9AC08BB-AA2F-47E9-8B8B-CBFF6245F99D}">
            <xm:f>'TC1'!$B8="Speak"</xm:f>
            <x14:dxf>
              <font>
                <b/>
                <i val="0"/>
                <color rgb="FFFF0000"/>
              </font>
            </x14:dxf>
          </x14:cfRule>
          <xm:sqref>C8</xm:sqref>
        </x14:conditionalFormatting>
        <x14:conditionalFormatting xmlns:xm="http://schemas.microsoft.com/office/excel/2006/main">
          <x14:cfRule type="containsText" priority="12" operator="containsText" text="DB" id="{603C1FC8-2183-4486-9950-FEE6E003C633}">
            <xm:f>NOT(ISERROR(SEARCH("DB",'TC1'!E10)))</xm:f>
            <x14:dxf>
              <font>
                <color rgb="FF006100"/>
              </font>
              <fill>
                <patternFill>
                  <bgColor rgb="FFC6EFCE"/>
                </patternFill>
              </fill>
            </x14:dxf>
          </x14:cfRule>
          <x14:cfRule type="containsText" priority="12" operator="containsText" text="WEB SERVICE" id="{4E8ABF88-05B8-41DC-A69E-89239556CCAA}">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containsText" priority="14" operator="containsText" text="Hear" id="{C9C756B5-0589-41A7-90F0-D293D9A55ACA}">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126" id="{D679FE16-60B0-4D59-8C7E-BA3B33FB072C}">
            <xm:f>'TC1'!$B14="Dial"</xm:f>
            <x14:dxf>
              <font>
                <b/>
                <i val="0"/>
                <color rgb="FFFF0000"/>
              </font>
            </x14:dxf>
          </x14:cfRule>
          <x14:cfRule type="expression" priority="3127" id="{23636406-C097-47F2-86C2-5912F2D234B4}">
            <xm:f>'TC1'!$B14="HANGUP"</xm:f>
            <x14:dxf>
              <font>
                <b/>
                <i val="0"/>
              </font>
            </x14:dxf>
          </x14:cfRule>
          <xm:sqref>C34:C43</xm:sqref>
        </x14:conditionalFormatting>
        <x14:conditionalFormatting xmlns:xm="http://schemas.microsoft.com/office/excel/2006/main">
          <x14:cfRule type="expression" priority="3128" id="{D679FE16-60B0-4D59-8C7E-BA3B33FB072C}">
            <xm:f>'TC1'!#REF!="Dial"</xm:f>
            <x14:dxf>
              <font>
                <b/>
                <i val="0"/>
                <color rgb="FFFF0000"/>
              </font>
            </x14:dxf>
          </x14:cfRule>
          <x14:cfRule type="expression" priority="3129" id="{23636406-C097-47F2-86C2-5912F2D234B4}">
            <xm:f>'TC1'!#REF!="HANGUP"</xm:f>
            <x14:dxf>
              <font>
                <b/>
                <i val="0"/>
              </font>
            </x14:dxf>
          </x14:cfRule>
          <xm:sqref>C13:C33</xm:sqref>
        </x14:conditionalFormatting>
        <x14:conditionalFormatting xmlns:xm="http://schemas.microsoft.com/office/excel/2006/main">
          <x14:cfRule type="expression" priority="3133" id="{D9AC08BB-AA2F-47E9-8B8B-CBFF6245F99D}">
            <xm:f>'TC1'!$B14="Speak"</xm:f>
            <x14:dxf>
              <font>
                <b/>
                <i val="0"/>
                <color rgb="FFFF0000"/>
              </font>
            </x14:dxf>
          </x14:cfRule>
          <xm:sqref>C34:C43</xm:sqref>
        </x14:conditionalFormatting>
        <x14:conditionalFormatting xmlns:xm="http://schemas.microsoft.com/office/excel/2006/main">
          <x14:cfRule type="expression" priority="3134" id="{D9AC08BB-AA2F-47E9-8B8B-CBFF6245F99D}">
            <xm:f>'TC1'!#REF!="Speak"</xm:f>
            <x14:dxf>
              <font>
                <b/>
                <i val="0"/>
                <color rgb="FFFF0000"/>
              </font>
            </x14:dxf>
          </x14:cfRule>
          <xm:sqref>C13:C33</xm:sqref>
        </x14:conditionalFormatting>
        <x14:conditionalFormatting xmlns:xm="http://schemas.microsoft.com/office/excel/2006/main">
          <x14:cfRule type="containsText" priority="3138" operator="containsText" text="DB" id="{603C1FC8-2183-4486-9950-FEE6E003C633}">
            <xm:f>NOT(ISERROR(SEARCH("DB",'TC1'!E14)))</xm:f>
            <x14:dxf>
              <font>
                <color rgb="FF006100"/>
              </font>
              <fill>
                <patternFill>
                  <bgColor rgb="FFC6EFCE"/>
                </patternFill>
              </fill>
            </x14:dxf>
          </x14:cfRule>
          <x14:cfRule type="containsText" priority="3139" operator="containsText" text="WEB SERVICE" id="{4E8ABF88-05B8-41DC-A69E-89239556CCAA}">
            <xm:f>NOT(ISERROR(SEARCH("WEB SERVICE",'TC1'!E14)))</xm:f>
            <x14:dxf>
              <font>
                <color rgb="FF9C0006"/>
              </font>
              <fill>
                <patternFill>
                  <bgColor rgb="FFFFC7CE"/>
                </patternFill>
              </fill>
            </x14:dxf>
          </x14:cfRule>
          <xm:sqref>E34:E43</xm:sqref>
        </x14:conditionalFormatting>
        <x14:conditionalFormatting xmlns:xm="http://schemas.microsoft.com/office/excel/2006/main">
          <x14:cfRule type="containsText" priority="3140" operator="containsText" text="DB" id="{603C1FC8-2183-4486-9950-FEE6E003C633}">
            <xm:f>NOT(ISERROR(SEARCH("DB",'TC1'!#REF!)))</xm:f>
            <x14:dxf>
              <font>
                <color rgb="FF006100"/>
              </font>
              <fill>
                <patternFill>
                  <bgColor rgb="FFC6EFCE"/>
                </patternFill>
              </fill>
            </x14:dxf>
          </x14:cfRule>
          <x14:cfRule type="containsText" priority="3141" operator="containsText" text="WEB SERVICE" id="{4E8ABF88-05B8-41DC-A69E-89239556CCAA}">
            <xm:f>NOT(ISERROR(SEARCH("WEB SERVICE",'TC1'!#REF!)))</xm:f>
            <x14:dxf>
              <font>
                <color rgb="FF9C0006"/>
              </font>
              <fill>
                <patternFill>
                  <bgColor rgb="FFFFC7CE"/>
                </patternFill>
              </fill>
            </x14:dxf>
          </x14:cfRule>
          <xm:sqref>E13:E33</xm:sqref>
        </x14:conditionalFormatting>
        <x14:conditionalFormatting xmlns:xm="http://schemas.microsoft.com/office/excel/2006/main">
          <x14:cfRule type="expression" priority="4502" id="{D679FE16-60B0-4D59-8C7E-BA3B33FB072C}">
            <xm:f>'TC1'!$B10="Dial"</xm:f>
            <x14:dxf>
              <font>
                <b/>
                <i val="0"/>
                <color rgb="FFFF0000"/>
              </font>
            </x14:dxf>
          </x14:cfRule>
          <x14:cfRule type="expression" priority="4503" id="{23636406-C097-47F2-86C2-5912F2D234B4}">
            <xm:f>'TC1'!$B10="HANGUP"</xm:f>
            <x14:dxf>
              <font>
                <b/>
                <i val="0"/>
              </font>
            </x14:dxf>
          </x14:cfRule>
          <xm:sqref>C9:C12</xm:sqref>
        </x14:conditionalFormatting>
        <x14:conditionalFormatting xmlns:xm="http://schemas.microsoft.com/office/excel/2006/main">
          <x14:cfRule type="expression" priority="4505" id="{D9AC08BB-AA2F-47E9-8B8B-CBFF6245F99D}">
            <xm:f>'TC1'!$B10="Speak"</xm:f>
            <x14:dxf>
              <font>
                <b/>
                <i val="0"/>
                <color rgb="FFFF0000"/>
              </font>
            </x14:dxf>
          </x14:cfRule>
          <xm:sqref>C9:C12</xm:sqref>
        </x14:conditionalFormatting>
        <x14:conditionalFormatting xmlns:xm="http://schemas.microsoft.com/office/excel/2006/main">
          <x14:cfRule type="containsText" priority="6423" operator="containsText" text="Hear" id="{825A6B08-0FE5-4513-A4F7-E08B41E3FE9B}">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sheetPr codeName="Sheet146"/>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TC144</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VLOOKUP(Table257519913140106110151155170178196[[#This Row],[PEG]],Table1016[#All],2,FALSE)</f>
        <v>#N/A</v>
      </c>
      <c r="D9" s="125"/>
      <c r="E9" s="122" t="e">
        <f>VLOOKUP(Table257519913140106110151155170178196[[#This Row],[PEG]],Table1016[#All],3,FALSE)</f>
        <v>#N/A</v>
      </c>
    </row>
    <row r="10" spans="1:5">
      <c r="A10" s="114">
        <v>3</v>
      </c>
      <c r="B10" s="110" t="s">
        <v>115</v>
      </c>
      <c r="C10" s="105" t="e">
        <f>VLOOKUP(Table257519913140106110151155170178196[[#This Row],[PEG]],Table1016[#All],2,FALSE)</f>
        <v>#N/A</v>
      </c>
      <c r="D10" s="125"/>
      <c r="E10" s="122" t="e">
        <f>VLOOKUP(Table257519913140106110151155170178196[[#This Row],[PEG]],Table1016[#All],3,FALSE)</f>
        <v>#N/A</v>
      </c>
    </row>
    <row r="11" spans="1:5">
      <c r="A11" s="114">
        <v>4</v>
      </c>
      <c r="B11" s="110" t="s">
        <v>115</v>
      </c>
      <c r="C11" s="105" t="e">
        <f>VLOOKUP(Table257519913140106110151155170178196[[#This Row],[PEG]],Table1016[#All],2,FALSE)</f>
        <v>#N/A</v>
      </c>
      <c r="D11" s="125"/>
      <c r="E11" s="122" t="e">
        <f>VLOOKUP(Table257519913140106110151155170178196[[#This Row],[PEG]],Table1016[#All],3,FALSE)</f>
        <v>#N/A</v>
      </c>
    </row>
    <row r="12" spans="1:5">
      <c r="A12" s="114">
        <v>5</v>
      </c>
      <c r="B12" s="110" t="s">
        <v>114</v>
      </c>
      <c r="C12" s="105" t="e">
        <f>VLOOKUP(Table257519913140106110151155170178196[[#This Row],[PEG]],Table1016[#All],2,FALSE)</f>
        <v>#N/A</v>
      </c>
      <c r="D12" s="125"/>
      <c r="E12" s="122" t="e">
        <f>VLOOKUP(Table257519913140106110151155170178196[[#This Row],[PEG]],Table1016[#All],3,FALSE)</f>
        <v>#N/A</v>
      </c>
    </row>
    <row r="13" spans="1:5">
      <c r="A13" s="114">
        <v>6</v>
      </c>
      <c r="B13" s="110" t="s">
        <v>115</v>
      </c>
      <c r="C13" s="105" t="e">
        <f>VLOOKUP(Table257519913140106110151155170178196[[#This Row],[PEG]],Table1016[#All],2,FALSE)</f>
        <v>#N/A</v>
      </c>
      <c r="D13" s="125"/>
      <c r="E13" s="122" t="e">
        <f>VLOOKUP(Table257519913140106110151155170178196[[#This Row],[PEG]],Table1016[#All],3,FALSE)</f>
        <v>#N/A</v>
      </c>
    </row>
    <row r="14" spans="1:5">
      <c r="A14" s="114">
        <v>7</v>
      </c>
      <c r="B14" s="110" t="s">
        <v>114</v>
      </c>
      <c r="C14" s="105" t="e">
        <f>VLOOKUP(Table257519913140106110151155170178196[[#This Row],[PEG]],Table1016[#All],2,FALSE)</f>
        <v>#N/A</v>
      </c>
      <c r="D14" s="125"/>
      <c r="E14" s="122" t="e">
        <f>VLOOKUP(Table257519913140106110151155170178196[[#This Row],[PEG]],Table1016[#All],3,FALSE)</f>
        <v>#N/A</v>
      </c>
    </row>
    <row r="15" spans="1:5">
      <c r="A15" s="114">
        <v>8</v>
      </c>
      <c r="B15" s="110" t="s">
        <v>115</v>
      </c>
      <c r="C15" s="105" t="e">
        <f>VLOOKUP(Table257519913140106110151155170178196[[#This Row],[PEG]],Table1016[#All],2,FALSE)</f>
        <v>#N/A</v>
      </c>
      <c r="D15" s="112"/>
      <c r="E15" s="122" t="e">
        <f>VLOOKUP(Table257519913140106110151155170178196[[#This Row],[PEG]],Table1016[#All],3,FALSE)</f>
        <v>#N/A</v>
      </c>
    </row>
    <row r="16" spans="1:5">
      <c r="A16" s="114">
        <v>9</v>
      </c>
      <c r="B16" s="110" t="s">
        <v>12</v>
      </c>
      <c r="C16" s="105" t="e">
        <f>VLOOKUP(Table257519913140106110151155170178196[[#This Row],[PEG]],Table1016[#All],2,FALSE)</f>
        <v>#N/A</v>
      </c>
      <c r="D16" s="112"/>
      <c r="E16" s="122" t="e">
        <f>VLOOKUP(Table257519913140106110151155170178196[[#This Row],[PEG]],Table1016[#All],3,FALSE)</f>
        <v>#N/A</v>
      </c>
    </row>
    <row r="17" spans="1:5">
      <c r="A17" s="114">
        <v>10</v>
      </c>
      <c r="B17" s="110" t="s">
        <v>12</v>
      </c>
      <c r="C17" s="105" t="e">
        <f>VLOOKUP(Table257519913140106110151155170178196[[#This Row],[PEG]],Table1016[#All],2,FALSE)</f>
        <v>#N/A</v>
      </c>
      <c r="D17" s="113"/>
      <c r="E17" s="122" t="e">
        <f>VLOOKUP(Table257519913140106110151155170178196[[#This Row],[PEG]],Table1016[#All],3,FALSE)</f>
        <v>#N/A</v>
      </c>
    </row>
    <row r="18" spans="1:5">
      <c r="A18" s="114">
        <v>11</v>
      </c>
      <c r="B18" s="110" t="s">
        <v>115</v>
      </c>
      <c r="C18" s="105" t="e">
        <f>VLOOKUP(Table257519913140106110151155170178196[[#This Row],[PEG]],Table1016[#All],2,FALSE)</f>
        <v>#N/A</v>
      </c>
      <c r="D18" s="113"/>
      <c r="E18" s="122" t="e">
        <f>VLOOKUP(Table257519913140106110151155170178196[[#This Row],[PEG]],Table1016[#All],3,FALSE)</f>
        <v>#N/A</v>
      </c>
    </row>
    <row r="19" spans="1:5">
      <c r="A19" s="114">
        <v>12</v>
      </c>
      <c r="B19" s="110" t="s">
        <v>115</v>
      </c>
      <c r="C19" s="105" t="e">
        <f>VLOOKUP(Table257519913140106110151155170178196[[#This Row],[PEG]],Table1016[#All],2,FALSE)</f>
        <v>#N/A</v>
      </c>
      <c r="D19" s="113"/>
      <c r="E19" s="122" t="e">
        <f>VLOOKUP(Table257519913140106110151155170178196[[#This Row],[PEG]],Table1016[#All],3,FALSE)</f>
        <v>#N/A</v>
      </c>
    </row>
    <row r="20" spans="1:5">
      <c r="A20" s="114">
        <v>13</v>
      </c>
      <c r="B20" s="110" t="s">
        <v>114</v>
      </c>
      <c r="C20" s="105" t="e">
        <f>VLOOKUP(Table257519913140106110151155170178196[[#This Row],[PEG]],Table1016[#All],2,FALSE)</f>
        <v>#N/A</v>
      </c>
      <c r="D20" s="113"/>
      <c r="E20" s="122" t="e">
        <f>VLOOKUP(Table257519913140106110151155170178196[[#This Row],[PEG]],Table1016[#All],3,FALSE)</f>
        <v>#N/A</v>
      </c>
    </row>
    <row r="21" spans="1:5">
      <c r="A21" s="114">
        <v>14</v>
      </c>
      <c r="B21" s="110" t="s">
        <v>12</v>
      </c>
      <c r="C21" s="105" t="e">
        <f>VLOOKUP(Table257519913140106110151155170178196[[#This Row],[PEG]],Table1016[#All],2,FALSE)</f>
        <v>#N/A</v>
      </c>
      <c r="D21" s="113"/>
      <c r="E21" s="122" t="e">
        <f>VLOOKUP(Table257519913140106110151155170178196[[#This Row],[PEG]],Table1016[#All],3,FALSE)</f>
        <v>#N/A</v>
      </c>
    </row>
    <row r="22" spans="1:5">
      <c r="A22" s="114">
        <v>15</v>
      </c>
      <c r="B22" s="110" t="s">
        <v>12</v>
      </c>
      <c r="C22" s="105" t="e">
        <f>VLOOKUP(Table257519913140106110151155170178196[[#This Row],[PEG]],Table1016[#All],2,FALSE)</f>
        <v>#N/A</v>
      </c>
      <c r="D22" s="113"/>
      <c r="E22" s="122" t="e">
        <f>VLOOKUP(Table257519913140106110151155170178196[[#This Row],[PEG]],Table1016[#All],3,FALSE)</f>
        <v>#N/A</v>
      </c>
    </row>
    <row r="23" spans="1:5">
      <c r="A23" s="114">
        <v>16</v>
      </c>
      <c r="B23" s="110" t="s">
        <v>115</v>
      </c>
      <c r="C23" s="105" t="e">
        <f>VLOOKUP(Table257519913140106110151155170178196[[#This Row],[PEG]],Table1016[#All],2,FALSE)</f>
        <v>#N/A</v>
      </c>
      <c r="D23" s="113"/>
      <c r="E23" s="122" t="e">
        <f>VLOOKUP(Table257519913140106110151155170178196[[#This Row],[PEG]],Table1016[#All],3,FALSE)</f>
        <v>#N/A</v>
      </c>
    </row>
    <row r="24" spans="1:5">
      <c r="A24" s="114">
        <v>17</v>
      </c>
      <c r="B24" s="110" t="s">
        <v>114</v>
      </c>
      <c r="C24" s="105" t="e">
        <f>VLOOKUP(Table257519913140106110151155170178196[[#This Row],[PEG]],Table1016[#All],2,FALSE)</f>
        <v>#N/A</v>
      </c>
      <c r="D24" s="113"/>
      <c r="E24" s="122" t="e">
        <f>VLOOKUP(Table257519913140106110151155170178196[[#This Row],[PEG]],Table1016[#All],3,FALSE)</f>
        <v>#N/A</v>
      </c>
    </row>
    <row r="25" spans="1:5">
      <c r="A25" s="114">
        <v>18</v>
      </c>
      <c r="B25" s="110" t="s">
        <v>12</v>
      </c>
      <c r="C25" s="105" t="e">
        <f>VLOOKUP(Table257519913140106110151155170178196[[#This Row],[PEG]],Table1016[#All],2,FALSE)</f>
        <v>#N/A</v>
      </c>
      <c r="D25" s="113"/>
      <c r="E25" s="122" t="e">
        <f>VLOOKUP(Table257519913140106110151155170178196[[#This Row],[PEG]],Table1016[#All],3,FALSE)</f>
        <v>#N/A</v>
      </c>
    </row>
    <row r="26" spans="1:5">
      <c r="A26" s="114">
        <v>19</v>
      </c>
      <c r="B26" s="110" t="s">
        <v>12</v>
      </c>
      <c r="C26" s="105" t="e">
        <f>VLOOKUP(Table257519913140106110151155170178196[[#This Row],[PEG]],Table1016[#All],2,FALSE)</f>
        <v>#N/A</v>
      </c>
      <c r="D26" s="113"/>
      <c r="E26" s="122" t="e">
        <f>VLOOKUP(Table257519913140106110151155170178196[[#This Row],[PEG]],Table1016[#All],3,FALSE)</f>
        <v>#N/A</v>
      </c>
    </row>
    <row r="27" spans="1:5">
      <c r="A27" s="114">
        <v>20</v>
      </c>
      <c r="B27" s="110" t="s">
        <v>115</v>
      </c>
      <c r="C27" s="105" t="e">
        <f>VLOOKUP(Table257519913140106110151155170178196[[#This Row],[PEG]],Table1016[#All],2,FALSE)</f>
        <v>#N/A</v>
      </c>
      <c r="D27" s="113"/>
      <c r="E27" s="122" t="e">
        <f>VLOOKUP(Table257519913140106110151155170178196[[#This Row],[PEG]],Table1016[#All],3,FALSE)</f>
        <v>#N/A</v>
      </c>
    </row>
    <row r="28" spans="1:5">
      <c r="A28" s="114">
        <v>21</v>
      </c>
      <c r="B28" s="110" t="s">
        <v>114</v>
      </c>
      <c r="C28" s="105" t="e">
        <f>VLOOKUP(Table257519913140106110151155170178196[[#This Row],[PEG]],Table1016[#All],2,FALSE)</f>
        <v>#N/A</v>
      </c>
      <c r="D28" s="113"/>
      <c r="E28" s="122" t="e">
        <f>VLOOKUP(Table257519913140106110151155170178196[[#This Row],[PEG]],Table1016[#All],3,FALSE)</f>
        <v>#N/A</v>
      </c>
    </row>
    <row r="29" spans="1:5">
      <c r="A29" s="114">
        <v>22</v>
      </c>
      <c r="B29" s="110" t="s">
        <v>12</v>
      </c>
      <c r="C29" s="105" t="e">
        <f>VLOOKUP(Table257519913140106110151155170178196[[#This Row],[PEG]],Table1016[#All],2,FALSE)</f>
        <v>#N/A</v>
      </c>
      <c r="D29" s="113"/>
      <c r="E29" s="122" t="e">
        <f>VLOOKUP(Table257519913140106110151155170178196[[#This Row],[PEG]],Table1016[#All],3,FALSE)</f>
        <v>#N/A</v>
      </c>
    </row>
    <row r="30" spans="1:5">
      <c r="A30" s="114">
        <v>23</v>
      </c>
      <c r="B30" s="110" t="s">
        <v>12</v>
      </c>
      <c r="C30" s="105" t="e">
        <f>VLOOKUP(Table257519913140106110151155170178196[[#This Row],[PEG]],Table1016[#All],2,FALSE)</f>
        <v>#N/A</v>
      </c>
      <c r="D30" s="113"/>
      <c r="E30" s="122" t="e">
        <f>VLOOKUP(Table257519913140106110151155170178196[[#This Row],[PEG]],Table1016[#All],3,FALSE)</f>
        <v>#N/A</v>
      </c>
    </row>
    <row r="31" spans="1:5">
      <c r="A31" s="114">
        <v>24</v>
      </c>
      <c r="B31" s="110" t="s">
        <v>115</v>
      </c>
      <c r="C31" s="105" t="e">
        <f>VLOOKUP(Table257519913140106110151155170178196[[#This Row],[PEG]],Table1016[#All],2,FALSE)</f>
        <v>#N/A</v>
      </c>
      <c r="D31" s="113"/>
      <c r="E31" s="122" t="e">
        <f>VLOOKUP(Table257519913140106110151155170178196[[#This Row],[PEG]],Table1016[#All],3,FALSE)</f>
        <v>#N/A</v>
      </c>
    </row>
    <row r="32" spans="1:5">
      <c r="A32" s="114">
        <v>25</v>
      </c>
      <c r="B32" s="110" t="s">
        <v>115</v>
      </c>
      <c r="C32" s="105" t="e">
        <f>VLOOKUP(Table257519913140106110151155170178196[[#This Row],[PEG]],Table1016[#All],2,FALSE)</f>
        <v>#N/A</v>
      </c>
      <c r="D32" s="113"/>
      <c r="E32" s="122" t="e">
        <f>VLOOKUP(Table257519913140106110151155170178196[[#This Row],[PEG]],Table1016[#All],3,FALSE)</f>
        <v>#N/A</v>
      </c>
    </row>
    <row r="33" spans="1:5">
      <c r="A33" s="114">
        <v>26</v>
      </c>
      <c r="B33" s="110" t="s">
        <v>124</v>
      </c>
      <c r="C33" s="105" t="e">
        <f>VLOOKUP(Table257519913140106110151155170178196[[#This Row],[PEG]],Table1016[#All],2,FALSE)</f>
        <v>#N/A</v>
      </c>
      <c r="D33" s="113"/>
      <c r="E33" s="122" t="e">
        <f>VLOOKUP(Table257519913140106110151155170178196[[#This Row],[PEG]],Table1016[#All],3,FALSE)</f>
        <v>#N/A</v>
      </c>
    </row>
    <row r="34" spans="1:5">
      <c r="A34" s="114">
        <v>27</v>
      </c>
      <c r="B34" s="110" t="s">
        <v>115</v>
      </c>
      <c r="C34" s="105" t="e">
        <f>VLOOKUP(Table257519913140106110151155170178196[[#This Row],[PEG]],Table1016[#All],2,FALSE)</f>
        <v>#N/A</v>
      </c>
      <c r="D34" s="113"/>
      <c r="E34" s="122" t="e">
        <f>VLOOKUP(Table257519913140106110151155170178196[[#This Row],[PEG]],Table1016[#All],3,FALSE)</f>
        <v>#N/A</v>
      </c>
    </row>
    <row r="35" spans="1:5">
      <c r="A35" s="114">
        <v>28</v>
      </c>
      <c r="B35" s="110" t="s">
        <v>124</v>
      </c>
      <c r="C35" s="105" t="e">
        <f>VLOOKUP(Table257519913140106110151155170178196[[#This Row],[PEG]],Table1016[#All],2,FALSE)</f>
        <v>#N/A</v>
      </c>
      <c r="D35" s="113"/>
      <c r="E35" s="122" t="e">
        <f>VLOOKUP(Table257519913140106110151155170178196[[#This Row],[PEG]],Table1016[#All],3,FALSE)</f>
        <v>#N/A</v>
      </c>
    </row>
    <row r="36" spans="1:5">
      <c r="A36" s="114">
        <v>29</v>
      </c>
      <c r="B36" s="110" t="s">
        <v>115</v>
      </c>
      <c r="C36" s="105" t="e">
        <f>VLOOKUP(Table257519913140106110151155170178196[[#This Row],[PEG]],Table1016[#All],2,FALSE)</f>
        <v>#N/A</v>
      </c>
      <c r="D36" s="113"/>
      <c r="E36" s="122" t="e">
        <f>VLOOKUP(Table257519913140106110151155170178196[[#This Row],[PEG]],Table1016[#All],3,FALSE)</f>
        <v>#N/A</v>
      </c>
    </row>
    <row r="37" spans="1:5">
      <c r="A37" s="114">
        <v>30</v>
      </c>
      <c r="B37" s="110" t="s">
        <v>12</v>
      </c>
      <c r="C37" s="105" t="e">
        <f>VLOOKUP(Table257519913140106110151155170178196[[#This Row],[PEG]],Table1016[#All],2,FALSE)</f>
        <v>#N/A</v>
      </c>
      <c r="D37" s="113"/>
      <c r="E37" s="122" t="e">
        <f>VLOOKUP(Table257519913140106110151155170178196[[#This Row],[PEG]],Table1016[#All],3,FALSE)</f>
        <v>#N/A</v>
      </c>
    </row>
    <row r="38" spans="1:5">
      <c r="A38" s="114">
        <v>31</v>
      </c>
      <c r="B38" s="110" t="s">
        <v>12</v>
      </c>
      <c r="C38" s="105" t="e">
        <f>VLOOKUP(Table257519913140106110151155170178196[[#This Row],[PEG]],Table1016[#All],2,FALSE)</f>
        <v>#N/A</v>
      </c>
      <c r="D38" s="113"/>
      <c r="E38" s="122" t="e">
        <f>VLOOKUP(Table257519913140106110151155170178196[[#This Row],[PEG]],Table1016[#All],3,FALSE)</f>
        <v>#N/A</v>
      </c>
    </row>
    <row r="39" spans="1:5">
      <c r="A39" s="114">
        <v>32</v>
      </c>
      <c r="B39" s="110" t="s">
        <v>12</v>
      </c>
      <c r="C39" s="105" t="e">
        <f>VLOOKUP(Table257519913140106110151155170178196[[#This Row],[PEG]],Table1016[#All],2,FALSE)</f>
        <v>#N/A</v>
      </c>
      <c r="D39" s="113"/>
      <c r="E39" s="122" t="e">
        <f>VLOOKUP(Table257519913140106110151155170178196[[#This Row],[PEG]],Table1016[#All],3,FALSE)</f>
        <v>#N/A</v>
      </c>
    </row>
    <row r="40" spans="1:5">
      <c r="A40" s="114">
        <v>33</v>
      </c>
      <c r="B40" s="110" t="s">
        <v>12</v>
      </c>
      <c r="C40" s="105" t="e">
        <f>VLOOKUP(Table257519913140106110151155170178196[[#This Row],[PEG]],Table1016[#All],2,FALSE)</f>
        <v>#N/A</v>
      </c>
      <c r="D40" s="113"/>
      <c r="E40" s="122" t="e">
        <f>VLOOKUP(Table257519913140106110151155170178196[[#This Row],[PEG]],Table1016[#All],3,FALSE)</f>
        <v>#N/A</v>
      </c>
    </row>
    <row r="41" spans="1:5">
      <c r="A41" s="114">
        <v>34</v>
      </c>
      <c r="B41" s="110" t="s">
        <v>115</v>
      </c>
      <c r="C41" s="105" t="e">
        <f>VLOOKUP(Table257519913140106110151155170178196[[#This Row],[PEG]],Table1016[#All],2,FALSE)</f>
        <v>#N/A</v>
      </c>
      <c r="D41" s="113"/>
      <c r="E41" s="122" t="e">
        <f>VLOOKUP(Table257519913140106110151155170178196[[#This Row],[PEG]],Table1016[#All],3,FALSE)</f>
        <v>#N/A</v>
      </c>
    </row>
    <row r="42" spans="1:5">
      <c r="A42" s="114">
        <v>35</v>
      </c>
      <c r="B42" s="110" t="s">
        <v>12</v>
      </c>
      <c r="C42" s="105" t="e">
        <f>VLOOKUP(Table257519913140106110151155170178196[[#This Row],[PEG]],Table1016[#All],2,FALSE)</f>
        <v>#N/A</v>
      </c>
      <c r="D42" s="111"/>
      <c r="E42" s="122" t="e">
        <f>VLOOKUP(Table257519913140106110151155170178196[[#This Row],[PEG]],Table1016[#All],3,FALSE)</f>
        <v>#N/A</v>
      </c>
    </row>
    <row r="43" spans="1:5">
      <c r="A43" s="114">
        <v>36</v>
      </c>
      <c r="B43" s="110" t="s">
        <v>115</v>
      </c>
      <c r="C43" s="105" t="e">
        <f>VLOOKUP(Table257519913140106110151155170178196[[#This Row],[PEG]],Table1016[#All],2,FALSE)</f>
        <v>#N/A</v>
      </c>
      <c r="D43" s="111"/>
      <c r="E43" s="122" t="e">
        <f>VLOOKUP(Table257519913140106110151155170178196[[#This Row],[PEG]],Table1016[#All],3,FALSE)</f>
        <v>#N/A</v>
      </c>
    </row>
    <row r="44" spans="1:5">
      <c r="A44" s="114">
        <v>37</v>
      </c>
      <c r="B44" s="110" t="s">
        <v>13</v>
      </c>
      <c r="C44" s="17" t="s">
        <v>13</v>
      </c>
      <c r="D44" s="111"/>
      <c r="E44" s="31"/>
    </row>
  </sheetData>
  <mergeCells count="1">
    <mergeCell ref="A1:B1"/>
  </mergeCells>
  <conditionalFormatting sqref="B8:B18">
    <cfRule type="containsText" dxfId="1461" priority="1" operator="containsText" text="Hear">
      <formula>NOT(ISERROR(SEARCH("Hear",B8)))</formula>
    </cfRule>
  </conditionalFormatting>
  <conditionalFormatting sqref="B30">
    <cfRule type="containsText" dxfId="1460" priority="4" operator="containsText" text="Hear">
      <formula>NOT(ISERROR(SEARCH("Hear",B30)))</formula>
    </cfRule>
  </conditionalFormatting>
  <conditionalFormatting sqref="B43:B44">
    <cfRule type="containsText" dxfId="1459" priority="8" operator="containsText" text="Hear">
      <formula>NOT(ISERROR(SEARCH("Hear",B43)))</formula>
    </cfRule>
  </conditionalFormatting>
  <conditionalFormatting sqref="E44">
    <cfRule type="containsText" dxfId="1458" priority="6" operator="containsText" text="WEB SERVICE">
      <formula>NOT(ISERROR(SEARCH("WEB SERVICE",E44)))</formula>
    </cfRule>
    <cfRule type="containsText" dxfId="1457" priority="7" operator="containsText" text="DB">
      <formula>NOT(ISERROR(SEARCH("DB",E44)))</formula>
    </cfRule>
  </conditionalFormatting>
  <conditionalFormatting sqref="C44">
    <cfRule type="expression" dxfId="1456" priority="9">
      <formula>$B44="HANGUP"</formula>
    </cfRule>
    <cfRule type="expression" dxfId="1455" priority="9">
      <formula>$B44="Dial"</formula>
    </cfRule>
  </conditionalFormatting>
  <conditionalFormatting sqref="C44">
    <cfRule type="expression" dxfId="1454" priority="3">
      <formula>$B44="Speak"</formula>
    </cfRule>
  </conditionalFormatting>
  <conditionalFormatting sqref="B36:B38 B40:B41">
    <cfRule type="containsText" dxfId="1453" priority="2" operator="containsText" text="Hear">
      <formula>NOT(ISERROR(SEARCH("Hear",B36)))</formula>
    </cfRule>
  </conditionalFormatting>
  <conditionalFormatting sqref="B19:B29 B31:B35 B42">
    <cfRule type="containsText" dxfId="1452" priority="5" operator="containsText" text="Hear">
      <formula>NOT(ISERROR(SEARCH("Hear",B19)))</formula>
    </cfRule>
  </conditionalFormatting>
  <hyperlinks>
    <hyperlink ref="A1" location="'Test Case Overview'!A1" display="Return to Test Case Overview" xr:uid="{00000000-0004-0000-90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0" id="{CC3C6C2B-D25C-4BD6-A251-383DCC87CD97}">
            <xm:f>'TC1'!$B8="Dial"</xm:f>
            <x14:dxf>
              <font>
                <b/>
                <i val="0"/>
                <color rgb="FFFF0000"/>
              </font>
            </x14:dxf>
          </x14:cfRule>
          <x14:cfRule type="expression" priority="10" id="{4BA4762E-E9F3-4B36-962A-01B3C945CE30}">
            <xm:f>'TC1'!$B8="HANGUP"</xm:f>
            <x14:dxf>
              <font>
                <b/>
                <i val="0"/>
              </font>
            </x14:dxf>
          </x14:cfRule>
          <xm:sqref>C8</xm:sqref>
        </x14:conditionalFormatting>
        <x14:conditionalFormatting xmlns:xm="http://schemas.microsoft.com/office/excel/2006/main">
          <x14:cfRule type="expression" priority="11" id="{BFF2EC27-6EB4-44DA-AD03-EE64640D4ADD}">
            <xm:f>'TC1'!$B8="Speak"</xm:f>
            <x14:dxf>
              <font>
                <b/>
                <i val="0"/>
                <color rgb="FFFF0000"/>
              </font>
            </x14:dxf>
          </x14:cfRule>
          <xm:sqref>C8</xm:sqref>
        </x14:conditionalFormatting>
        <x14:conditionalFormatting xmlns:xm="http://schemas.microsoft.com/office/excel/2006/main">
          <x14:cfRule type="containsText" priority="12" operator="containsText" text="DB" id="{C6528F52-3487-47A4-9D89-DFF52A36D472}">
            <xm:f>NOT(ISERROR(SEARCH("DB",'TC1'!E10)))</xm:f>
            <x14:dxf>
              <font>
                <color rgb="FF006100"/>
              </font>
              <fill>
                <patternFill>
                  <bgColor rgb="FFC6EFCE"/>
                </patternFill>
              </fill>
            </x14:dxf>
          </x14:cfRule>
          <x14:cfRule type="containsText" priority="12" operator="containsText" text="WEB SERVICE" id="{88289847-071E-450A-9187-7ACF603931A5}">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containsText" priority="14" operator="containsText" text="Hear" id="{7D83767C-4608-4DA5-AFE7-266634C3A15B}">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146" id="{CC3C6C2B-D25C-4BD6-A251-383DCC87CD97}">
            <xm:f>'TC1'!$B14="Dial"</xm:f>
            <x14:dxf>
              <font>
                <b/>
                <i val="0"/>
                <color rgb="FFFF0000"/>
              </font>
            </x14:dxf>
          </x14:cfRule>
          <x14:cfRule type="expression" priority="3147" id="{4BA4762E-E9F3-4B36-962A-01B3C945CE30}">
            <xm:f>'TC1'!$B14="HANGUP"</xm:f>
            <x14:dxf>
              <font>
                <b/>
                <i val="0"/>
              </font>
            </x14:dxf>
          </x14:cfRule>
          <xm:sqref>C34:C43</xm:sqref>
        </x14:conditionalFormatting>
        <x14:conditionalFormatting xmlns:xm="http://schemas.microsoft.com/office/excel/2006/main">
          <x14:cfRule type="expression" priority="3148" id="{CC3C6C2B-D25C-4BD6-A251-383DCC87CD97}">
            <xm:f>'TC1'!#REF!="Dial"</xm:f>
            <x14:dxf>
              <font>
                <b/>
                <i val="0"/>
                <color rgb="FFFF0000"/>
              </font>
            </x14:dxf>
          </x14:cfRule>
          <x14:cfRule type="expression" priority="3149" id="{4BA4762E-E9F3-4B36-962A-01B3C945CE30}">
            <xm:f>'TC1'!#REF!="HANGUP"</xm:f>
            <x14:dxf>
              <font>
                <b/>
                <i val="0"/>
              </font>
            </x14:dxf>
          </x14:cfRule>
          <xm:sqref>C13:C33</xm:sqref>
        </x14:conditionalFormatting>
        <x14:conditionalFormatting xmlns:xm="http://schemas.microsoft.com/office/excel/2006/main">
          <x14:cfRule type="expression" priority="3153" id="{BFF2EC27-6EB4-44DA-AD03-EE64640D4ADD}">
            <xm:f>'TC1'!$B14="Speak"</xm:f>
            <x14:dxf>
              <font>
                <b/>
                <i val="0"/>
                <color rgb="FFFF0000"/>
              </font>
            </x14:dxf>
          </x14:cfRule>
          <xm:sqref>C34:C43</xm:sqref>
        </x14:conditionalFormatting>
        <x14:conditionalFormatting xmlns:xm="http://schemas.microsoft.com/office/excel/2006/main">
          <x14:cfRule type="expression" priority="3154" id="{BFF2EC27-6EB4-44DA-AD03-EE64640D4ADD}">
            <xm:f>'TC1'!#REF!="Speak"</xm:f>
            <x14:dxf>
              <font>
                <b/>
                <i val="0"/>
                <color rgb="FFFF0000"/>
              </font>
            </x14:dxf>
          </x14:cfRule>
          <xm:sqref>C13:C33</xm:sqref>
        </x14:conditionalFormatting>
        <x14:conditionalFormatting xmlns:xm="http://schemas.microsoft.com/office/excel/2006/main">
          <x14:cfRule type="containsText" priority="3158" operator="containsText" text="DB" id="{C6528F52-3487-47A4-9D89-DFF52A36D472}">
            <xm:f>NOT(ISERROR(SEARCH("DB",'TC1'!E14)))</xm:f>
            <x14:dxf>
              <font>
                <color rgb="FF006100"/>
              </font>
              <fill>
                <patternFill>
                  <bgColor rgb="FFC6EFCE"/>
                </patternFill>
              </fill>
            </x14:dxf>
          </x14:cfRule>
          <x14:cfRule type="containsText" priority="3159" operator="containsText" text="WEB SERVICE" id="{88289847-071E-450A-9187-7ACF603931A5}">
            <xm:f>NOT(ISERROR(SEARCH("WEB SERVICE",'TC1'!E14)))</xm:f>
            <x14:dxf>
              <font>
                <color rgb="FF9C0006"/>
              </font>
              <fill>
                <patternFill>
                  <bgColor rgb="FFFFC7CE"/>
                </patternFill>
              </fill>
            </x14:dxf>
          </x14:cfRule>
          <xm:sqref>E34:E43</xm:sqref>
        </x14:conditionalFormatting>
        <x14:conditionalFormatting xmlns:xm="http://schemas.microsoft.com/office/excel/2006/main">
          <x14:cfRule type="containsText" priority="3160" operator="containsText" text="DB" id="{C6528F52-3487-47A4-9D89-DFF52A36D472}">
            <xm:f>NOT(ISERROR(SEARCH("DB",'TC1'!#REF!)))</xm:f>
            <x14:dxf>
              <font>
                <color rgb="FF006100"/>
              </font>
              <fill>
                <patternFill>
                  <bgColor rgb="FFC6EFCE"/>
                </patternFill>
              </fill>
            </x14:dxf>
          </x14:cfRule>
          <x14:cfRule type="containsText" priority="3161" operator="containsText" text="WEB SERVICE" id="{88289847-071E-450A-9187-7ACF603931A5}">
            <xm:f>NOT(ISERROR(SEARCH("WEB SERVICE",'TC1'!#REF!)))</xm:f>
            <x14:dxf>
              <font>
                <color rgb="FF9C0006"/>
              </font>
              <fill>
                <patternFill>
                  <bgColor rgb="FFFFC7CE"/>
                </patternFill>
              </fill>
            </x14:dxf>
          </x14:cfRule>
          <xm:sqref>E13:E33</xm:sqref>
        </x14:conditionalFormatting>
        <x14:conditionalFormatting xmlns:xm="http://schemas.microsoft.com/office/excel/2006/main">
          <x14:cfRule type="expression" priority="4510" id="{CC3C6C2B-D25C-4BD6-A251-383DCC87CD97}">
            <xm:f>'TC1'!$B10="Dial"</xm:f>
            <x14:dxf>
              <font>
                <b/>
                <i val="0"/>
                <color rgb="FFFF0000"/>
              </font>
            </x14:dxf>
          </x14:cfRule>
          <x14:cfRule type="expression" priority="4511" id="{4BA4762E-E9F3-4B36-962A-01B3C945CE30}">
            <xm:f>'TC1'!$B10="HANGUP"</xm:f>
            <x14:dxf>
              <font>
                <b/>
                <i val="0"/>
              </font>
            </x14:dxf>
          </x14:cfRule>
          <xm:sqref>C9:C12</xm:sqref>
        </x14:conditionalFormatting>
        <x14:conditionalFormatting xmlns:xm="http://schemas.microsoft.com/office/excel/2006/main">
          <x14:cfRule type="expression" priority="4513" id="{BFF2EC27-6EB4-44DA-AD03-EE64640D4ADD}">
            <xm:f>'TC1'!$B10="Speak"</xm:f>
            <x14:dxf>
              <font>
                <b/>
                <i val="0"/>
                <color rgb="FFFF0000"/>
              </font>
            </x14:dxf>
          </x14:cfRule>
          <xm:sqref>C9:C12</xm:sqref>
        </x14:conditionalFormatting>
        <x14:conditionalFormatting xmlns:xm="http://schemas.microsoft.com/office/excel/2006/main">
          <x14:cfRule type="containsText" priority="6438" operator="containsText" text="Hear" id="{82B6AEC5-8794-4F0D-AA71-6DF96E33EAF4}">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sheetPr codeName="Sheet147"/>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TC145</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VLOOKUP(Table257519913140106110151155170178198[[#This Row],[PEG]],Table1016[#All],2,FALSE)</f>
        <v>#N/A</v>
      </c>
      <c r="D9" s="125"/>
      <c r="E9" s="122" t="e">
        <f>VLOOKUP(Table257519913140106110151155170178198[[#This Row],[PEG]],Table1016[#All],3,FALSE)</f>
        <v>#N/A</v>
      </c>
    </row>
    <row r="10" spans="1:5">
      <c r="A10" s="114">
        <v>3</v>
      </c>
      <c r="B10" s="110" t="s">
        <v>115</v>
      </c>
      <c r="C10" s="105" t="e">
        <f>VLOOKUP(Table257519913140106110151155170178198[[#This Row],[PEG]],Table1016[#All],2,FALSE)</f>
        <v>#N/A</v>
      </c>
      <c r="D10" s="125"/>
      <c r="E10" s="122" t="e">
        <f>VLOOKUP(Table257519913140106110151155170178198[[#This Row],[PEG]],Table1016[#All],3,FALSE)</f>
        <v>#N/A</v>
      </c>
    </row>
    <row r="11" spans="1:5">
      <c r="A11" s="114">
        <v>4</v>
      </c>
      <c r="B11" s="110" t="s">
        <v>115</v>
      </c>
      <c r="C11" s="105" t="e">
        <f>VLOOKUP(Table257519913140106110151155170178198[[#This Row],[PEG]],Table1016[#All],2,FALSE)</f>
        <v>#N/A</v>
      </c>
      <c r="D11" s="125"/>
      <c r="E11" s="122" t="e">
        <f>VLOOKUP(Table257519913140106110151155170178198[[#This Row],[PEG]],Table1016[#All],3,FALSE)</f>
        <v>#N/A</v>
      </c>
    </row>
    <row r="12" spans="1:5">
      <c r="A12" s="114">
        <v>5</v>
      </c>
      <c r="B12" s="110" t="s">
        <v>114</v>
      </c>
      <c r="C12" s="105" t="e">
        <f>VLOOKUP(Table257519913140106110151155170178198[[#This Row],[PEG]],Table1016[#All],2,FALSE)</f>
        <v>#N/A</v>
      </c>
      <c r="D12" s="125"/>
      <c r="E12" s="122" t="e">
        <f>VLOOKUP(Table257519913140106110151155170178198[[#This Row],[PEG]],Table1016[#All],3,FALSE)</f>
        <v>#N/A</v>
      </c>
    </row>
    <row r="13" spans="1:5">
      <c r="A13" s="114">
        <v>6</v>
      </c>
      <c r="B13" s="110" t="s">
        <v>115</v>
      </c>
      <c r="C13" s="105" t="e">
        <f>VLOOKUP(Table257519913140106110151155170178198[[#This Row],[PEG]],Table1016[#All],2,FALSE)</f>
        <v>#N/A</v>
      </c>
      <c r="D13" s="125"/>
      <c r="E13" s="122" t="e">
        <f>VLOOKUP(Table257519913140106110151155170178198[[#This Row],[PEG]],Table1016[#All],3,FALSE)</f>
        <v>#N/A</v>
      </c>
    </row>
    <row r="14" spans="1:5">
      <c r="A14" s="114">
        <v>7</v>
      </c>
      <c r="B14" s="110" t="s">
        <v>114</v>
      </c>
      <c r="C14" s="105" t="e">
        <f>VLOOKUP(Table257519913140106110151155170178198[[#This Row],[PEG]],Table1016[#All],2,FALSE)</f>
        <v>#N/A</v>
      </c>
      <c r="D14" s="125"/>
      <c r="E14" s="122" t="e">
        <f>VLOOKUP(Table257519913140106110151155170178198[[#This Row],[PEG]],Table1016[#All],3,FALSE)</f>
        <v>#N/A</v>
      </c>
    </row>
    <row r="15" spans="1:5">
      <c r="A15" s="114">
        <v>8</v>
      </c>
      <c r="B15" s="110" t="s">
        <v>115</v>
      </c>
      <c r="C15" s="105" t="e">
        <f>VLOOKUP(Table257519913140106110151155170178198[[#This Row],[PEG]],Table1016[#All],2,FALSE)</f>
        <v>#N/A</v>
      </c>
      <c r="D15" s="112"/>
      <c r="E15" s="122" t="e">
        <f>VLOOKUP(Table257519913140106110151155170178198[[#This Row],[PEG]],Table1016[#All],3,FALSE)</f>
        <v>#N/A</v>
      </c>
    </row>
    <row r="16" spans="1:5">
      <c r="A16" s="114">
        <v>9</v>
      </c>
      <c r="B16" s="110" t="s">
        <v>12</v>
      </c>
      <c r="C16" s="105" t="e">
        <f>VLOOKUP(Table257519913140106110151155170178198[[#This Row],[PEG]],Table1016[#All],2,FALSE)</f>
        <v>#N/A</v>
      </c>
      <c r="D16" s="112"/>
      <c r="E16" s="122" t="e">
        <f>VLOOKUP(Table257519913140106110151155170178198[[#This Row],[PEG]],Table1016[#All],3,FALSE)</f>
        <v>#N/A</v>
      </c>
    </row>
    <row r="17" spans="1:5">
      <c r="A17" s="114">
        <v>10</v>
      </c>
      <c r="B17" s="110" t="s">
        <v>12</v>
      </c>
      <c r="C17" s="105" t="e">
        <f>VLOOKUP(Table257519913140106110151155170178198[[#This Row],[PEG]],Table1016[#All],2,FALSE)</f>
        <v>#N/A</v>
      </c>
      <c r="D17" s="113"/>
      <c r="E17" s="122" t="e">
        <f>VLOOKUP(Table257519913140106110151155170178198[[#This Row],[PEG]],Table1016[#All],3,FALSE)</f>
        <v>#N/A</v>
      </c>
    </row>
    <row r="18" spans="1:5">
      <c r="A18" s="114">
        <v>11</v>
      </c>
      <c r="B18" s="110" t="s">
        <v>115</v>
      </c>
      <c r="C18" s="105" t="e">
        <f>VLOOKUP(Table257519913140106110151155170178198[[#This Row],[PEG]],Table1016[#All],2,FALSE)</f>
        <v>#N/A</v>
      </c>
      <c r="D18" s="113"/>
      <c r="E18" s="122" t="e">
        <f>VLOOKUP(Table257519913140106110151155170178198[[#This Row],[PEG]],Table1016[#All],3,FALSE)</f>
        <v>#N/A</v>
      </c>
    </row>
    <row r="19" spans="1:5">
      <c r="A19" s="114">
        <v>12</v>
      </c>
      <c r="B19" s="110" t="s">
        <v>115</v>
      </c>
      <c r="C19" s="105" t="e">
        <f>VLOOKUP(Table257519913140106110151155170178198[[#This Row],[PEG]],Table1016[#All],2,FALSE)</f>
        <v>#N/A</v>
      </c>
      <c r="D19" s="113"/>
      <c r="E19" s="122" t="e">
        <f>VLOOKUP(Table257519913140106110151155170178198[[#This Row],[PEG]],Table1016[#All],3,FALSE)</f>
        <v>#N/A</v>
      </c>
    </row>
    <row r="20" spans="1:5">
      <c r="A20" s="114">
        <v>13</v>
      </c>
      <c r="B20" s="110" t="s">
        <v>114</v>
      </c>
      <c r="C20" s="105" t="e">
        <f>VLOOKUP(Table257519913140106110151155170178198[[#This Row],[PEG]],Table1016[#All],2,FALSE)</f>
        <v>#N/A</v>
      </c>
      <c r="D20" s="113"/>
      <c r="E20" s="122" t="e">
        <f>VLOOKUP(Table257519913140106110151155170178198[[#This Row],[PEG]],Table1016[#All],3,FALSE)</f>
        <v>#N/A</v>
      </c>
    </row>
    <row r="21" spans="1:5">
      <c r="A21" s="114">
        <v>14</v>
      </c>
      <c r="B21" s="110" t="s">
        <v>12</v>
      </c>
      <c r="C21" s="105" t="e">
        <f>VLOOKUP(Table257519913140106110151155170178198[[#This Row],[PEG]],Table1016[#All],2,FALSE)</f>
        <v>#N/A</v>
      </c>
      <c r="D21" s="113"/>
      <c r="E21" s="122" t="e">
        <f>VLOOKUP(Table257519913140106110151155170178198[[#This Row],[PEG]],Table1016[#All],3,FALSE)</f>
        <v>#N/A</v>
      </c>
    </row>
    <row r="22" spans="1:5">
      <c r="A22" s="114">
        <v>15</v>
      </c>
      <c r="B22" s="110" t="s">
        <v>12</v>
      </c>
      <c r="C22" s="105" t="e">
        <f>VLOOKUP(Table257519913140106110151155170178198[[#This Row],[PEG]],Table1016[#All],2,FALSE)</f>
        <v>#N/A</v>
      </c>
      <c r="D22" s="113"/>
      <c r="E22" s="122" t="e">
        <f>VLOOKUP(Table257519913140106110151155170178198[[#This Row],[PEG]],Table1016[#All],3,FALSE)</f>
        <v>#N/A</v>
      </c>
    </row>
    <row r="23" spans="1:5">
      <c r="A23" s="114">
        <v>16</v>
      </c>
      <c r="B23" s="110" t="s">
        <v>115</v>
      </c>
      <c r="C23" s="105" t="e">
        <f>VLOOKUP(Table257519913140106110151155170178198[[#This Row],[PEG]],Table1016[#All],2,FALSE)</f>
        <v>#N/A</v>
      </c>
      <c r="D23" s="113"/>
      <c r="E23" s="122" t="e">
        <f>VLOOKUP(Table257519913140106110151155170178198[[#This Row],[PEG]],Table1016[#All],3,FALSE)</f>
        <v>#N/A</v>
      </c>
    </row>
    <row r="24" spans="1:5">
      <c r="A24" s="114">
        <v>17</v>
      </c>
      <c r="B24" s="110" t="s">
        <v>114</v>
      </c>
      <c r="C24" s="105" t="e">
        <f>VLOOKUP(Table257519913140106110151155170178198[[#This Row],[PEG]],Table1016[#All],2,FALSE)</f>
        <v>#N/A</v>
      </c>
      <c r="D24" s="113"/>
      <c r="E24" s="122" t="e">
        <f>VLOOKUP(Table257519913140106110151155170178198[[#This Row],[PEG]],Table1016[#All],3,FALSE)</f>
        <v>#N/A</v>
      </c>
    </row>
    <row r="25" spans="1:5">
      <c r="A25" s="114">
        <v>18</v>
      </c>
      <c r="B25" s="110" t="s">
        <v>12</v>
      </c>
      <c r="C25" s="105" t="e">
        <f>VLOOKUP(Table257519913140106110151155170178198[[#This Row],[PEG]],Table1016[#All],2,FALSE)</f>
        <v>#N/A</v>
      </c>
      <c r="D25" s="113"/>
      <c r="E25" s="122" t="e">
        <f>VLOOKUP(Table257519913140106110151155170178198[[#This Row],[PEG]],Table1016[#All],3,FALSE)</f>
        <v>#N/A</v>
      </c>
    </row>
    <row r="26" spans="1:5">
      <c r="A26" s="114">
        <v>19</v>
      </c>
      <c r="B26" s="110" t="s">
        <v>12</v>
      </c>
      <c r="C26" s="105" t="e">
        <f>VLOOKUP(Table257519913140106110151155170178198[[#This Row],[PEG]],Table1016[#All],2,FALSE)</f>
        <v>#N/A</v>
      </c>
      <c r="D26" s="113"/>
      <c r="E26" s="122" t="e">
        <f>VLOOKUP(Table257519913140106110151155170178198[[#This Row],[PEG]],Table1016[#All],3,FALSE)</f>
        <v>#N/A</v>
      </c>
    </row>
    <row r="27" spans="1:5">
      <c r="A27" s="114">
        <v>20</v>
      </c>
      <c r="B27" s="110" t="s">
        <v>115</v>
      </c>
      <c r="C27" s="105" t="e">
        <f>VLOOKUP(Table257519913140106110151155170178198[[#This Row],[PEG]],Table1016[#All],2,FALSE)</f>
        <v>#N/A</v>
      </c>
      <c r="D27" s="113"/>
      <c r="E27" s="122" t="e">
        <f>VLOOKUP(Table257519913140106110151155170178198[[#This Row],[PEG]],Table1016[#All],3,FALSE)</f>
        <v>#N/A</v>
      </c>
    </row>
    <row r="28" spans="1:5">
      <c r="A28" s="114">
        <v>21</v>
      </c>
      <c r="B28" s="110" t="s">
        <v>114</v>
      </c>
      <c r="C28" s="105" t="e">
        <f>VLOOKUP(Table257519913140106110151155170178198[[#This Row],[PEG]],Table1016[#All],2,FALSE)</f>
        <v>#N/A</v>
      </c>
      <c r="D28" s="113"/>
      <c r="E28" s="122" t="e">
        <f>VLOOKUP(Table257519913140106110151155170178198[[#This Row],[PEG]],Table1016[#All],3,FALSE)</f>
        <v>#N/A</v>
      </c>
    </row>
    <row r="29" spans="1:5">
      <c r="A29" s="114">
        <v>22</v>
      </c>
      <c r="B29" s="110" t="s">
        <v>12</v>
      </c>
      <c r="C29" s="105" t="e">
        <f>VLOOKUP(Table257519913140106110151155170178198[[#This Row],[PEG]],Table1016[#All],2,FALSE)</f>
        <v>#N/A</v>
      </c>
      <c r="D29" s="113"/>
      <c r="E29" s="122" t="e">
        <f>VLOOKUP(Table257519913140106110151155170178198[[#This Row],[PEG]],Table1016[#All],3,FALSE)</f>
        <v>#N/A</v>
      </c>
    </row>
    <row r="30" spans="1:5">
      <c r="A30" s="114">
        <v>23</v>
      </c>
      <c r="B30" s="110" t="s">
        <v>12</v>
      </c>
      <c r="C30" s="105" t="e">
        <f>VLOOKUP(Table257519913140106110151155170178198[[#This Row],[PEG]],Table1016[#All],2,FALSE)</f>
        <v>#N/A</v>
      </c>
      <c r="D30" s="113"/>
      <c r="E30" s="122" t="e">
        <f>VLOOKUP(Table257519913140106110151155170178198[[#This Row],[PEG]],Table1016[#All],3,FALSE)</f>
        <v>#N/A</v>
      </c>
    </row>
    <row r="31" spans="1:5">
      <c r="A31" s="114">
        <v>24</v>
      </c>
      <c r="B31" s="110" t="s">
        <v>115</v>
      </c>
      <c r="C31" s="105" t="e">
        <f>VLOOKUP(Table257519913140106110151155170178198[[#This Row],[PEG]],Table1016[#All],2,FALSE)</f>
        <v>#N/A</v>
      </c>
      <c r="D31" s="113"/>
      <c r="E31" s="122" t="e">
        <f>VLOOKUP(Table257519913140106110151155170178198[[#This Row],[PEG]],Table1016[#All],3,FALSE)</f>
        <v>#N/A</v>
      </c>
    </row>
    <row r="32" spans="1:5">
      <c r="A32" s="114">
        <v>25</v>
      </c>
      <c r="B32" s="110" t="s">
        <v>115</v>
      </c>
      <c r="C32" s="105" t="e">
        <f>VLOOKUP(Table257519913140106110151155170178198[[#This Row],[PEG]],Table1016[#All],2,FALSE)</f>
        <v>#N/A</v>
      </c>
      <c r="D32" s="113"/>
      <c r="E32" s="122" t="e">
        <f>VLOOKUP(Table257519913140106110151155170178198[[#This Row],[PEG]],Table1016[#All],3,FALSE)</f>
        <v>#N/A</v>
      </c>
    </row>
    <row r="33" spans="1:5">
      <c r="A33" s="114">
        <v>26</v>
      </c>
      <c r="B33" s="110" t="s">
        <v>124</v>
      </c>
      <c r="C33" s="105" t="e">
        <f>VLOOKUP(Table257519913140106110151155170178198[[#This Row],[PEG]],Table1016[#All],2,FALSE)</f>
        <v>#N/A</v>
      </c>
      <c r="D33" s="113"/>
      <c r="E33" s="122" t="e">
        <f>VLOOKUP(Table257519913140106110151155170178198[[#This Row],[PEG]],Table1016[#All],3,FALSE)</f>
        <v>#N/A</v>
      </c>
    </row>
    <row r="34" spans="1:5">
      <c r="A34" s="114">
        <v>27</v>
      </c>
      <c r="B34" s="110" t="s">
        <v>115</v>
      </c>
      <c r="C34" s="105" t="e">
        <f>VLOOKUP(Table257519913140106110151155170178198[[#This Row],[PEG]],Table1016[#All],2,FALSE)</f>
        <v>#N/A</v>
      </c>
      <c r="D34" s="113"/>
      <c r="E34" s="122" t="e">
        <f>VLOOKUP(Table257519913140106110151155170178198[[#This Row],[PEG]],Table1016[#All],3,FALSE)</f>
        <v>#N/A</v>
      </c>
    </row>
    <row r="35" spans="1:5">
      <c r="A35" s="114">
        <v>28</v>
      </c>
      <c r="B35" s="110" t="s">
        <v>124</v>
      </c>
      <c r="C35" s="105" t="e">
        <f>VLOOKUP(Table257519913140106110151155170178198[[#This Row],[PEG]],Table1016[#All],2,FALSE)</f>
        <v>#N/A</v>
      </c>
      <c r="D35" s="113"/>
      <c r="E35" s="122" t="e">
        <f>VLOOKUP(Table257519913140106110151155170178198[[#This Row],[PEG]],Table1016[#All],3,FALSE)</f>
        <v>#N/A</v>
      </c>
    </row>
    <row r="36" spans="1:5">
      <c r="A36" s="114">
        <v>29</v>
      </c>
      <c r="B36" s="110" t="s">
        <v>115</v>
      </c>
      <c r="C36" s="105" t="e">
        <f>VLOOKUP(Table257519913140106110151155170178198[[#This Row],[PEG]],Table1016[#All],2,FALSE)</f>
        <v>#N/A</v>
      </c>
      <c r="D36" s="113"/>
      <c r="E36" s="122" t="e">
        <f>VLOOKUP(Table257519913140106110151155170178198[[#This Row],[PEG]],Table1016[#All],3,FALSE)</f>
        <v>#N/A</v>
      </c>
    </row>
    <row r="37" spans="1:5">
      <c r="A37" s="114">
        <v>30</v>
      </c>
      <c r="B37" s="110" t="s">
        <v>12</v>
      </c>
      <c r="C37" s="105" t="e">
        <f>VLOOKUP(Table257519913140106110151155170178198[[#This Row],[PEG]],Table1016[#All],2,FALSE)</f>
        <v>#N/A</v>
      </c>
      <c r="D37" s="113"/>
      <c r="E37" s="122" t="e">
        <f>VLOOKUP(Table257519913140106110151155170178198[[#This Row],[PEG]],Table1016[#All],3,FALSE)</f>
        <v>#N/A</v>
      </c>
    </row>
    <row r="38" spans="1:5">
      <c r="A38" s="114">
        <v>31</v>
      </c>
      <c r="B38" s="110" t="s">
        <v>12</v>
      </c>
      <c r="C38" s="105" t="e">
        <f>VLOOKUP(Table257519913140106110151155170178198[[#This Row],[PEG]],Table1016[#All],2,FALSE)</f>
        <v>#N/A</v>
      </c>
      <c r="D38" s="113"/>
      <c r="E38" s="122" t="e">
        <f>VLOOKUP(Table257519913140106110151155170178198[[#This Row],[PEG]],Table1016[#All],3,FALSE)</f>
        <v>#N/A</v>
      </c>
    </row>
    <row r="39" spans="1:5">
      <c r="A39" s="114">
        <v>32</v>
      </c>
      <c r="B39" s="110" t="s">
        <v>12</v>
      </c>
      <c r="C39" s="105" t="e">
        <f>VLOOKUP(Table257519913140106110151155170178198[[#This Row],[PEG]],Table1016[#All],2,FALSE)</f>
        <v>#N/A</v>
      </c>
      <c r="D39" s="113"/>
      <c r="E39" s="122" t="e">
        <f>VLOOKUP(Table257519913140106110151155170178198[[#This Row],[PEG]],Table1016[#All],3,FALSE)</f>
        <v>#N/A</v>
      </c>
    </row>
    <row r="40" spans="1:5">
      <c r="A40" s="114">
        <v>33</v>
      </c>
      <c r="B40" s="110" t="s">
        <v>12</v>
      </c>
      <c r="C40" s="105" t="e">
        <f>VLOOKUP(Table257519913140106110151155170178198[[#This Row],[PEG]],Table1016[#All],2,FALSE)</f>
        <v>#N/A</v>
      </c>
      <c r="D40" s="113"/>
      <c r="E40" s="122" t="e">
        <f>VLOOKUP(Table257519913140106110151155170178198[[#This Row],[PEG]],Table1016[#All],3,FALSE)</f>
        <v>#N/A</v>
      </c>
    </row>
    <row r="41" spans="1:5">
      <c r="A41" s="114">
        <v>34</v>
      </c>
      <c r="B41" s="110" t="s">
        <v>115</v>
      </c>
      <c r="C41" s="105" t="e">
        <f>VLOOKUP(Table257519913140106110151155170178198[[#This Row],[PEG]],Table1016[#All],2,FALSE)</f>
        <v>#N/A</v>
      </c>
      <c r="D41" s="113"/>
      <c r="E41" s="122" t="e">
        <f>VLOOKUP(Table257519913140106110151155170178198[[#This Row],[PEG]],Table1016[#All],3,FALSE)</f>
        <v>#N/A</v>
      </c>
    </row>
    <row r="42" spans="1:5">
      <c r="A42" s="114">
        <v>35</v>
      </c>
      <c r="B42" s="110" t="s">
        <v>12</v>
      </c>
      <c r="C42" s="105" t="e">
        <f>VLOOKUP(Table257519913140106110151155170178198[[#This Row],[PEG]],Table1016[#All],2,FALSE)</f>
        <v>#N/A</v>
      </c>
      <c r="D42" s="111"/>
      <c r="E42" s="122" t="e">
        <f>VLOOKUP(Table257519913140106110151155170178198[[#This Row],[PEG]],Table1016[#All],3,FALSE)</f>
        <v>#N/A</v>
      </c>
    </row>
    <row r="43" spans="1:5">
      <c r="A43" s="114">
        <v>36</v>
      </c>
      <c r="B43" s="110" t="s">
        <v>115</v>
      </c>
      <c r="C43" s="105" t="e">
        <f>VLOOKUP(Table257519913140106110151155170178198[[#This Row],[PEG]],Table1016[#All],2,FALSE)</f>
        <v>#N/A</v>
      </c>
      <c r="D43" s="111"/>
      <c r="E43" s="122" t="e">
        <f>VLOOKUP(Table257519913140106110151155170178198[[#This Row],[PEG]],Table1016[#All],3,FALSE)</f>
        <v>#N/A</v>
      </c>
    </row>
    <row r="44" spans="1:5">
      <c r="A44" s="114">
        <v>37</v>
      </c>
      <c r="B44" s="110" t="s">
        <v>13</v>
      </c>
      <c r="C44" s="17" t="s">
        <v>13</v>
      </c>
      <c r="D44" s="111"/>
      <c r="E44" s="31"/>
    </row>
  </sheetData>
  <mergeCells count="1">
    <mergeCell ref="A1:B1"/>
  </mergeCells>
  <conditionalFormatting sqref="B8:B18">
    <cfRule type="containsText" dxfId="1422" priority="1" operator="containsText" text="Hear">
      <formula>NOT(ISERROR(SEARCH("Hear",B8)))</formula>
    </cfRule>
  </conditionalFormatting>
  <conditionalFormatting sqref="B30">
    <cfRule type="containsText" dxfId="1421" priority="4" operator="containsText" text="Hear">
      <formula>NOT(ISERROR(SEARCH("Hear",B30)))</formula>
    </cfRule>
  </conditionalFormatting>
  <conditionalFormatting sqref="B43:B44">
    <cfRule type="containsText" dxfId="1420" priority="8" operator="containsText" text="Hear">
      <formula>NOT(ISERROR(SEARCH("Hear",B43)))</formula>
    </cfRule>
  </conditionalFormatting>
  <conditionalFormatting sqref="E44">
    <cfRule type="containsText" dxfId="1419" priority="6" operator="containsText" text="WEB SERVICE">
      <formula>NOT(ISERROR(SEARCH("WEB SERVICE",E44)))</formula>
    </cfRule>
    <cfRule type="containsText" dxfId="1418" priority="7" operator="containsText" text="DB">
      <formula>NOT(ISERROR(SEARCH("DB",E44)))</formula>
    </cfRule>
  </conditionalFormatting>
  <conditionalFormatting sqref="C44">
    <cfRule type="expression" dxfId="1417" priority="9">
      <formula>$B44="HANGUP"</formula>
    </cfRule>
    <cfRule type="expression" dxfId="1416" priority="9">
      <formula>$B44="Dial"</formula>
    </cfRule>
  </conditionalFormatting>
  <conditionalFormatting sqref="C44">
    <cfRule type="expression" dxfId="1415" priority="3">
      <formula>$B44="Speak"</formula>
    </cfRule>
  </conditionalFormatting>
  <conditionalFormatting sqref="B36:B38 B40:B41">
    <cfRule type="containsText" dxfId="1414" priority="2" operator="containsText" text="Hear">
      <formula>NOT(ISERROR(SEARCH("Hear",B36)))</formula>
    </cfRule>
  </conditionalFormatting>
  <conditionalFormatting sqref="B19:B29 B31:B35 B42">
    <cfRule type="containsText" dxfId="1413" priority="5" operator="containsText" text="Hear">
      <formula>NOT(ISERROR(SEARCH("Hear",B19)))</formula>
    </cfRule>
  </conditionalFormatting>
  <hyperlinks>
    <hyperlink ref="A1" location="'Test Case Overview'!A1" display="Return to Test Case Overview" xr:uid="{00000000-0004-0000-91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0" id="{5455AEEC-2B0D-4FF5-84E8-B31157190CEA}">
            <xm:f>'TC1'!$B8="Dial"</xm:f>
            <x14:dxf>
              <font>
                <b/>
                <i val="0"/>
                <color rgb="FFFF0000"/>
              </font>
            </x14:dxf>
          </x14:cfRule>
          <x14:cfRule type="expression" priority="10" id="{93D14877-BF66-4C57-9505-51725AD69BA5}">
            <xm:f>'TC1'!$B8="HANGUP"</xm:f>
            <x14:dxf>
              <font>
                <b/>
                <i val="0"/>
              </font>
            </x14:dxf>
          </x14:cfRule>
          <xm:sqref>C8</xm:sqref>
        </x14:conditionalFormatting>
        <x14:conditionalFormatting xmlns:xm="http://schemas.microsoft.com/office/excel/2006/main">
          <x14:cfRule type="expression" priority="11" id="{AE90A712-B510-457B-A389-21BA55531DC7}">
            <xm:f>'TC1'!$B8="Speak"</xm:f>
            <x14:dxf>
              <font>
                <b/>
                <i val="0"/>
                <color rgb="FFFF0000"/>
              </font>
            </x14:dxf>
          </x14:cfRule>
          <xm:sqref>C8</xm:sqref>
        </x14:conditionalFormatting>
        <x14:conditionalFormatting xmlns:xm="http://schemas.microsoft.com/office/excel/2006/main">
          <x14:cfRule type="containsText" priority="12" operator="containsText" text="DB" id="{61C2D40E-A062-4E13-8889-7AC7277AA12A}">
            <xm:f>NOT(ISERROR(SEARCH("DB",'TC1'!E10)))</xm:f>
            <x14:dxf>
              <font>
                <color rgb="FF006100"/>
              </font>
              <fill>
                <patternFill>
                  <bgColor rgb="FFC6EFCE"/>
                </patternFill>
              </fill>
            </x14:dxf>
          </x14:cfRule>
          <x14:cfRule type="containsText" priority="12" operator="containsText" text="WEB SERVICE" id="{B2FB573D-B202-457A-B976-CF6963CDB0E6}">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containsText" priority="14" operator="containsText" text="Hear" id="{2CDB9262-6B62-479C-84E4-662205B71FF4}">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166" id="{5455AEEC-2B0D-4FF5-84E8-B31157190CEA}">
            <xm:f>'TC1'!$B14="Dial"</xm:f>
            <x14:dxf>
              <font>
                <b/>
                <i val="0"/>
                <color rgb="FFFF0000"/>
              </font>
            </x14:dxf>
          </x14:cfRule>
          <x14:cfRule type="expression" priority="3167" id="{93D14877-BF66-4C57-9505-51725AD69BA5}">
            <xm:f>'TC1'!$B14="HANGUP"</xm:f>
            <x14:dxf>
              <font>
                <b/>
                <i val="0"/>
              </font>
            </x14:dxf>
          </x14:cfRule>
          <xm:sqref>C34:C43</xm:sqref>
        </x14:conditionalFormatting>
        <x14:conditionalFormatting xmlns:xm="http://schemas.microsoft.com/office/excel/2006/main">
          <x14:cfRule type="expression" priority="3168" id="{5455AEEC-2B0D-4FF5-84E8-B31157190CEA}">
            <xm:f>'TC1'!#REF!="Dial"</xm:f>
            <x14:dxf>
              <font>
                <b/>
                <i val="0"/>
                <color rgb="FFFF0000"/>
              </font>
            </x14:dxf>
          </x14:cfRule>
          <x14:cfRule type="expression" priority="3169" id="{93D14877-BF66-4C57-9505-51725AD69BA5}">
            <xm:f>'TC1'!#REF!="HANGUP"</xm:f>
            <x14:dxf>
              <font>
                <b/>
                <i val="0"/>
              </font>
            </x14:dxf>
          </x14:cfRule>
          <xm:sqref>C13:C33</xm:sqref>
        </x14:conditionalFormatting>
        <x14:conditionalFormatting xmlns:xm="http://schemas.microsoft.com/office/excel/2006/main">
          <x14:cfRule type="expression" priority="3173" id="{AE90A712-B510-457B-A389-21BA55531DC7}">
            <xm:f>'TC1'!$B14="Speak"</xm:f>
            <x14:dxf>
              <font>
                <b/>
                <i val="0"/>
                <color rgb="FFFF0000"/>
              </font>
            </x14:dxf>
          </x14:cfRule>
          <xm:sqref>C34:C43</xm:sqref>
        </x14:conditionalFormatting>
        <x14:conditionalFormatting xmlns:xm="http://schemas.microsoft.com/office/excel/2006/main">
          <x14:cfRule type="expression" priority="3174" id="{AE90A712-B510-457B-A389-21BA55531DC7}">
            <xm:f>'TC1'!#REF!="Speak"</xm:f>
            <x14:dxf>
              <font>
                <b/>
                <i val="0"/>
                <color rgb="FFFF0000"/>
              </font>
            </x14:dxf>
          </x14:cfRule>
          <xm:sqref>C13:C33</xm:sqref>
        </x14:conditionalFormatting>
        <x14:conditionalFormatting xmlns:xm="http://schemas.microsoft.com/office/excel/2006/main">
          <x14:cfRule type="containsText" priority="3178" operator="containsText" text="DB" id="{61C2D40E-A062-4E13-8889-7AC7277AA12A}">
            <xm:f>NOT(ISERROR(SEARCH("DB",'TC1'!E14)))</xm:f>
            <x14:dxf>
              <font>
                <color rgb="FF006100"/>
              </font>
              <fill>
                <patternFill>
                  <bgColor rgb="FFC6EFCE"/>
                </patternFill>
              </fill>
            </x14:dxf>
          </x14:cfRule>
          <x14:cfRule type="containsText" priority="3179" operator="containsText" text="WEB SERVICE" id="{B2FB573D-B202-457A-B976-CF6963CDB0E6}">
            <xm:f>NOT(ISERROR(SEARCH("WEB SERVICE",'TC1'!E14)))</xm:f>
            <x14:dxf>
              <font>
                <color rgb="FF9C0006"/>
              </font>
              <fill>
                <patternFill>
                  <bgColor rgb="FFFFC7CE"/>
                </patternFill>
              </fill>
            </x14:dxf>
          </x14:cfRule>
          <xm:sqref>E34:E43</xm:sqref>
        </x14:conditionalFormatting>
        <x14:conditionalFormatting xmlns:xm="http://schemas.microsoft.com/office/excel/2006/main">
          <x14:cfRule type="containsText" priority="3180" operator="containsText" text="DB" id="{61C2D40E-A062-4E13-8889-7AC7277AA12A}">
            <xm:f>NOT(ISERROR(SEARCH("DB",'TC1'!#REF!)))</xm:f>
            <x14:dxf>
              <font>
                <color rgb="FF006100"/>
              </font>
              <fill>
                <patternFill>
                  <bgColor rgb="FFC6EFCE"/>
                </patternFill>
              </fill>
            </x14:dxf>
          </x14:cfRule>
          <x14:cfRule type="containsText" priority="3181" operator="containsText" text="WEB SERVICE" id="{B2FB573D-B202-457A-B976-CF6963CDB0E6}">
            <xm:f>NOT(ISERROR(SEARCH("WEB SERVICE",'TC1'!#REF!)))</xm:f>
            <x14:dxf>
              <font>
                <color rgb="FF9C0006"/>
              </font>
              <fill>
                <patternFill>
                  <bgColor rgb="FFFFC7CE"/>
                </patternFill>
              </fill>
            </x14:dxf>
          </x14:cfRule>
          <xm:sqref>E13:E33</xm:sqref>
        </x14:conditionalFormatting>
        <x14:conditionalFormatting xmlns:xm="http://schemas.microsoft.com/office/excel/2006/main">
          <x14:cfRule type="expression" priority="4518" id="{5455AEEC-2B0D-4FF5-84E8-B31157190CEA}">
            <xm:f>'TC1'!$B10="Dial"</xm:f>
            <x14:dxf>
              <font>
                <b/>
                <i val="0"/>
                <color rgb="FFFF0000"/>
              </font>
            </x14:dxf>
          </x14:cfRule>
          <x14:cfRule type="expression" priority="4519" id="{93D14877-BF66-4C57-9505-51725AD69BA5}">
            <xm:f>'TC1'!$B10="HANGUP"</xm:f>
            <x14:dxf>
              <font>
                <b/>
                <i val="0"/>
              </font>
            </x14:dxf>
          </x14:cfRule>
          <xm:sqref>C9:C12</xm:sqref>
        </x14:conditionalFormatting>
        <x14:conditionalFormatting xmlns:xm="http://schemas.microsoft.com/office/excel/2006/main">
          <x14:cfRule type="expression" priority="4521" id="{AE90A712-B510-457B-A389-21BA55531DC7}">
            <xm:f>'TC1'!$B10="Speak"</xm:f>
            <x14:dxf>
              <font>
                <b/>
                <i val="0"/>
                <color rgb="FFFF0000"/>
              </font>
            </x14:dxf>
          </x14:cfRule>
          <xm:sqref>C9:C12</xm:sqref>
        </x14:conditionalFormatting>
        <x14:conditionalFormatting xmlns:xm="http://schemas.microsoft.com/office/excel/2006/main">
          <x14:cfRule type="containsText" priority="6453" operator="containsText" text="Hear" id="{B27BD773-C726-46C0-A3E2-F32B70F07D76}">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sheetPr codeName="Sheet148"/>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TC146</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VLOOKUP(Table257519913140106110151155170178200[[#This Row],[PEG]],Table1016[#All],2,FALSE)</f>
        <v>#N/A</v>
      </c>
      <c r="D9" s="125"/>
      <c r="E9" s="122" t="e">
        <f>VLOOKUP(Table257519913140106110151155170178200[[#This Row],[PEG]],Table1016[#All],3,FALSE)</f>
        <v>#N/A</v>
      </c>
    </row>
    <row r="10" spans="1:5">
      <c r="A10" s="114">
        <v>3</v>
      </c>
      <c r="B10" s="110" t="s">
        <v>115</v>
      </c>
      <c r="C10" s="105" t="e">
        <f>VLOOKUP(Table257519913140106110151155170178200[[#This Row],[PEG]],Table1016[#All],2,FALSE)</f>
        <v>#N/A</v>
      </c>
      <c r="D10" s="125"/>
      <c r="E10" s="122" t="e">
        <f>VLOOKUP(Table257519913140106110151155170178200[[#This Row],[PEG]],Table1016[#All],3,FALSE)</f>
        <v>#N/A</v>
      </c>
    </row>
    <row r="11" spans="1:5">
      <c r="A11" s="114">
        <v>4</v>
      </c>
      <c r="B11" s="110" t="s">
        <v>115</v>
      </c>
      <c r="C11" s="105" t="e">
        <f>VLOOKUP(Table257519913140106110151155170178200[[#This Row],[PEG]],Table1016[#All],2,FALSE)</f>
        <v>#N/A</v>
      </c>
      <c r="D11" s="125"/>
      <c r="E11" s="122" t="e">
        <f>VLOOKUP(Table257519913140106110151155170178200[[#This Row],[PEG]],Table1016[#All],3,FALSE)</f>
        <v>#N/A</v>
      </c>
    </row>
    <row r="12" spans="1:5">
      <c r="A12" s="114">
        <v>5</v>
      </c>
      <c r="B12" s="110" t="s">
        <v>114</v>
      </c>
      <c r="C12" s="105" t="e">
        <f>VLOOKUP(Table257519913140106110151155170178200[[#This Row],[PEG]],Table1016[#All],2,FALSE)</f>
        <v>#N/A</v>
      </c>
      <c r="D12" s="125"/>
      <c r="E12" s="122" t="e">
        <f>VLOOKUP(Table257519913140106110151155170178200[[#This Row],[PEG]],Table1016[#All],3,FALSE)</f>
        <v>#N/A</v>
      </c>
    </row>
    <row r="13" spans="1:5">
      <c r="A13" s="114">
        <v>6</v>
      </c>
      <c r="B13" s="110" t="s">
        <v>115</v>
      </c>
      <c r="C13" s="105" t="e">
        <f>VLOOKUP(Table257519913140106110151155170178200[[#This Row],[PEG]],Table1016[#All],2,FALSE)</f>
        <v>#N/A</v>
      </c>
      <c r="D13" s="125"/>
      <c r="E13" s="122" t="e">
        <f>VLOOKUP(Table257519913140106110151155170178200[[#This Row],[PEG]],Table1016[#All],3,FALSE)</f>
        <v>#N/A</v>
      </c>
    </row>
    <row r="14" spans="1:5">
      <c r="A14" s="114">
        <v>7</v>
      </c>
      <c r="B14" s="110" t="s">
        <v>114</v>
      </c>
      <c r="C14" s="105" t="e">
        <f>VLOOKUP(Table257519913140106110151155170178200[[#This Row],[PEG]],Table1016[#All],2,FALSE)</f>
        <v>#N/A</v>
      </c>
      <c r="D14" s="125"/>
      <c r="E14" s="122" t="e">
        <f>VLOOKUP(Table257519913140106110151155170178200[[#This Row],[PEG]],Table1016[#All],3,FALSE)</f>
        <v>#N/A</v>
      </c>
    </row>
    <row r="15" spans="1:5">
      <c r="A15" s="114">
        <v>8</v>
      </c>
      <c r="B15" s="110" t="s">
        <v>115</v>
      </c>
      <c r="C15" s="105" t="e">
        <f>VLOOKUP(Table257519913140106110151155170178200[[#This Row],[PEG]],Table1016[#All],2,FALSE)</f>
        <v>#N/A</v>
      </c>
      <c r="D15" s="112"/>
      <c r="E15" s="122" t="e">
        <f>VLOOKUP(Table257519913140106110151155170178200[[#This Row],[PEG]],Table1016[#All],3,FALSE)</f>
        <v>#N/A</v>
      </c>
    </row>
    <row r="16" spans="1:5">
      <c r="A16" s="114">
        <v>9</v>
      </c>
      <c r="B16" s="110" t="s">
        <v>12</v>
      </c>
      <c r="C16" s="105" t="e">
        <f>VLOOKUP(Table257519913140106110151155170178200[[#This Row],[PEG]],Table1016[#All],2,FALSE)</f>
        <v>#N/A</v>
      </c>
      <c r="D16" s="112"/>
      <c r="E16" s="122" t="e">
        <f>VLOOKUP(Table257519913140106110151155170178200[[#This Row],[PEG]],Table1016[#All],3,FALSE)</f>
        <v>#N/A</v>
      </c>
    </row>
    <row r="17" spans="1:5">
      <c r="A17" s="114">
        <v>10</v>
      </c>
      <c r="B17" s="110" t="s">
        <v>12</v>
      </c>
      <c r="C17" s="105" t="e">
        <f>VLOOKUP(Table257519913140106110151155170178200[[#This Row],[PEG]],Table1016[#All],2,FALSE)</f>
        <v>#N/A</v>
      </c>
      <c r="D17" s="113"/>
      <c r="E17" s="122" t="e">
        <f>VLOOKUP(Table257519913140106110151155170178200[[#This Row],[PEG]],Table1016[#All],3,FALSE)</f>
        <v>#N/A</v>
      </c>
    </row>
    <row r="18" spans="1:5">
      <c r="A18" s="114">
        <v>11</v>
      </c>
      <c r="B18" s="110" t="s">
        <v>115</v>
      </c>
      <c r="C18" s="105" t="e">
        <f>VLOOKUP(Table257519913140106110151155170178200[[#This Row],[PEG]],Table1016[#All],2,FALSE)</f>
        <v>#N/A</v>
      </c>
      <c r="D18" s="113"/>
      <c r="E18" s="122" t="e">
        <f>VLOOKUP(Table257519913140106110151155170178200[[#This Row],[PEG]],Table1016[#All],3,FALSE)</f>
        <v>#N/A</v>
      </c>
    </row>
    <row r="19" spans="1:5">
      <c r="A19" s="114">
        <v>12</v>
      </c>
      <c r="B19" s="110" t="s">
        <v>115</v>
      </c>
      <c r="C19" s="105" t="e">
        <f>VLOOKUP(Table257519913140106110151155170178200[[#This Row],[PEG]],Table1016[#All],2,FALSE)</f>
        <v>#N/A</v>
      </c>
      <c r="D19" s="113"/>
      <c r="E19" s="122" t="e">
        <f>VLOOKUP(Table257519913140106110151155170178200[[#This Row],[PEG]],Table1016[#All],3,FALSE)</f>
        <v>#N/A</v>
      </c>
    </row>
    <row r="20" spans="1:5">
      <c r="A20" s="114">
        <v>13</v>
      </c>
      <c r="B20" s="110" t="s">
        <v>114</v>
      </c>
      <c r="C20" s="105" t="e">
        <f>VLOOKUP(Table257519913140106110151155170178200[[#This Row],[PEG]],Table1016[#All],2,FALSE)</f>
        <v>#N/A</v>
      </c>
      <c r="D20" s="113"/>
      <c r="E20" s="122" t="e">
        <f>VLOOKUP(Table257519913140106110151155170178200[[#This Row],[PEG]],Table1016[#All],3,FALSE)</f>
        <v>#N/A</v>
      </c>
    </row>
    <row r="21" spans="1:5">
      <c r="A21" s="114">
        <v>14</v>
      </c>
      <c r="B21" s="110" t="s">
        <v>12</v>
      </c>
      <c r="C21" s="105" t="e">
        <f>VLOOKUP(Table257519913140106110151155170178200[[#This Row],[PEG]],Table1016[#All],2,FALSE)</f>
        <v>#N/A</v>
      </c>
      <c r="D21" s="113"/>
      <c r="E21" s="122" t="e">
        <f>VLOOKUP(Table257519913140106110151155170178200[[#This Row],[PEG]],Table1016[#All],3,FALSE)</f>
        <v>#N/A</v>
      </c>
    </row>
    <row r="22" spans="1:5">
      <c r="A22" s="114">
        <v>15</v>
      </c>
      <c r="B22" s="110" t="s">
        <v>12</v>
      </c>
      <c r="C22" s="105" t="e">
        <f>VLOOKUP(Table257519913140106110151155170178200[[#This Row],[PEG]],Table1016[#All],2,FALSE)</f>
        <v>#N/A</v>
      </c>
      <c r="D22" s="113"/>
      <c r="E22" s="122" t="e">
        <f>VLOOKUP(Table257519913140106110151155170178200[[#This Row],[PEG]],Table1016[#All],3,FALSE)</f>
        <v>#N/A</v>
      </c>
    </row>
    <row r="23" spans="1:5">
      <c r="A23" s="114">
        <v>16</v>
      </c>
      <c r="B23" s="110" t="s">
        <v>115</v>
      </c>
      <c r="C23" s="105" t="e">
        <f>VLOOKUP(Table257519913140106110151155170178200[[#This Row],[PEG]],Table1016[#All],2,FALSE)</f>
        <v>#N/A</v>
      </c>
      <c r="D23" s="113"/>
      <c r="E23" s="122" t="e">
        <f>VLOOKUP(Table257519913140106110151155170178200[[#This Row],[PEG]],Table1016[#All],3,FALSE)</f>
        <v>#N/A</v>
      </c>
    </row>
    <row r="24" spans="1:5">
      <c r="A24" s="114">
        <v>17</v>
      </c>
      <c r="B24" s="110" t="s">
        <v>114</v>
      </c>
      <c r="C24" s="105" t="e">
        <f>VLOOKUP(Table257519913140106110151155170178200[[#This Row],[PEG]],Table1016[#All],2,FALSE)</f>
        <v>#N/A</v>
      </c>
      <c r="D24" s="113"/>
      <c r="E24" s="122" t="e">
        <f>VLOOKUP(Table257519913140106110151155170178200[[#This Row],[PEG]],Table1016[#All],3,FALSE)</f>
        <v>#N/A</v>
      </c>
    </row>
    <row r="25" spans="1:5">
      <c r="A25" s="114">
        <v>18</v>
      </c>
      <c r="B25" s="110" t="s">
        <v>12</v>
      </c>
      <c r="C25" s="105" t="e">
        <f>VLOOKUP(Table257519913140106110151155170178200[[#This Row],[PEG]],Table1016[#All],2,FALSE)</f>
        <v>#N/A</v>
      </c>
      <c r="D25" s="113"/>
      <c r="E25" s="122" t="e">
        <f>VLOOKUP(Table257519913140106110151155170178200[[#This Row],[PEG]],Table1016[#All],3,FALSE)</f>
        <v>#N/A</v>
      </c>
    </row>
    <row r="26" spans="1:5">
      <c r="A26" s="114">
        <v>19</v>
      </c>
      <c r="B26" s="110" t="s">
        <v>12</v>
      </c>
      <c r="C26" s="105" t="e">
        <f>VLOOKUP(Table257519913140106110151155170178200[[#This Row],[PEG]],Table1016[#All],2,FALSE)</f>
        <v>#N/A</v>
      </c>
      <c r="D26" s="113"/>
      <c r="E26" s="122" t="e">
        <f>VLOOKUP(Table257519913140106110151155170178200[[#This Row],[PEG]],Table1016[#All],3,FALSE)</f>
        <v>#N/A</v>
      </c>
    </row>
    <row r="27" spans="1:5">
      <c r="A27" s="114">
        <v>20</v>
      </c>
      <c r="B27" s="110" t="s">
        <v>115</v>
      </c>
      <c r="C27" s="105" t="e">
        <f>VLOOKUP(Table257519913140106110151155170178200[[#This Row],[PEG]],Table1016[#All],2,FALSE)</f>
        <v>#N/A</v>
      </c>
      <c r="D27" s="113"/>
      <c r="E27" s="122" t="e">
        <f>VLOOKUP(Table257519913140106110151155170178200[[#This Row],[PEG]],Table1016[#All],3,FALSE)</f>
        <v>#N/A</v>
      </c>
    </row>
    <row r="28" spans="1:5">
      <c r="A28" s="114">
        <v>21</v>
      </c>
      <c r="B28" s="110" t="s">
        <v>114</v>
      </c>
      <c r="C28" s="105" t="e">
        <f>VLOOKUP(Table257519913140106110151155170178200[[#This Row],[PEG]],Table1016[#All],2,FALSE)</f>
        <v>#N/A</v>
      </c>
      <c r="D28" s="113"/>
      <c r="E28" s="122" t="e">
        <f>VLOOKUP(Table257519913140106110151155170178200[[#This Row],[PEG]],Table1016[#All],3,FALSE)</f>
        <v>#N/A</v>
      </c>
    </row>
    <row r="29" spans="1:5">
      <c r="A29" s="114">
        <v>22</v>
      </c>
      <c r="B29" s="110" t="s">
        <v>12</v>
      </c>
      <c r="C29" s="105" t="e">
        <f>VLOOKUP(Table257519913140106110151155170178200[[#This Row],[PEG]],Table1016[#All],2,FALSE)</f>
        <v>#N/A</v>
      </c>
      <c r="D29" s="113"/>
      <c r="E29" s="122" t="e">
        <f>VLOOKUP(Table257519913140106110151155170178200[[#This Row],[PEG]],Table1016[#All],3,FALSE)</f>
        <v>#N/A</v>
      </c>
    </row>
    <row r="30" spans="1:5">
      <c r="A30" s="114">
        <v>23</v>
      </c>
      <c r="B30" s="110" t="s">
        <v>12</v>
      </c>
      <c r="C30" s="105" t="e">
        <f>VLOOKUP(Table257519913140106110151155170178200[[#This Row],[PEG]],Table1016[#All],2,FALSE)</f>
        <v>#N/A</v>
      </c>
      <c r="D30" s="113"/>
      <c r="E30" s="122" t="e">
        <f>VLOOKUP(Table257519913140106110151155170178200[[#This Row],[PEG]],Table1016[#All],3,FALSE)</f>
        <v>#N/A</v>
      </c>
    </row>
    <row r="31" spans="1:5">
      <c r="A31" s="114">
        <v>24</v>
      </c>
      <c r="B31" s="110" t="s">
        <v>115</v>
      </c>
      <c r="C31" s="105" t="e">
        <f>VLOOKUP(Table257519913140106110151155170178200[[#This Row],[PEG]],Table1016[#All],2,FALSE)</f>
        <v>#N/A</v>
      </c>
      <c r="D31" s="113"/>
      <c r="E31" s="122" t="e">
        <f>VLOOKUP(Table257519913140106110151155170178200[[#This Row],[PEG]],Table1016[#All],3,FALSE)</f>
        <v>#N/A</v>
      </c>
    </row>
    <row r="32" spans="1:5">
      <c r="A32" s="114">
        <v>25</v>
      </c>
      <c r="B32" s="110" t="s">
        <v>115</v>
      </c>
      <c r="C32" s="105" t="e">
        <f>VLOOKUP(Table257519913140106110151155170178200[[#This Row],[PEG]],Table1016[#All],2,FALSE)</f>
        <v>#N/A</v>
      </c>
      <c r="D32" s="113"/>
      <c r="E32" s="122" t="e">
        <f>VLOOKUP(Table257519913140106110151155170178200[[#This Row],[PEG]],Table1016[#All],3,FALSE)</f>
        <v>#N/A</v>
      </c>
    </row>
    <row r="33" spans="1:5">
      <c r="A33" s="114">
        <v>26</v>
      </c>
      <c r="B33" s="110" t="s">
        <v>124</v>
      </c>
      <c r="C33" s="105" t="e">
        <f>VLOOKUP(Table257519913140106110151155170178200[[#This Row],[PEG]],Table1016[#All],2,FALSE)</f>
        <v>#N/A</v>
      </c>
      <c r="D33" s="113"/>
      <c r="E33" s="122" t="e">
        <f>VLOOKUP(Table257519913140106110151155170178200[[#This Row],[PEG]],Table1016[#All],3,FALSE)</f>
        <v>#N/A</v>
      </c>
    </row>
    <row r="34" spans="1:5">
      <c r="A34" s="114">
        <v>27</v>
      </c>
      <c r="B34" s="110" t="s">
        <v>115</v>
      </c>
      <c r="C34" s="105" t="e">
        <f>VLOOKUP(Table257519913140106110151155170178200[[#This Row],[PEG]],Table1016[#All],2,FALSE)</f>
        <v>#N/A</v>
      </c>
      <c r="D34" s="113"/>
      <c r="E34" s="122" t="e">
        <f>VLOOKUP(Table257519913140106110151155170178200[[#This Row],[PEG]],Table1016[#All],3,FALSE)</f>
        <v>#N/A</v>
      </c>
    </row>
    <row r="35" spans="1:5">
      <c r="A35" s="114">
        <v>28</v>
      </c>
      <c r="B35" s="110" t="s">
        <v>124</v>
      </c>
      <c r="C35" s="105" t="e">
        <f>VLOOKUP(Table257519913140106110151155170178200[[#This Row],[PEG]],Table1016[#All],2,FALSE)</f>
        <v>#N/A</v>
      </c>
      <c r="D35" s="113"/>
      <c r="E35" s="122" t="e">
        <f>VLOOKUP(Table257519913140106110151155170178200[[#This Row],[PEG]],Table1016[#All],3,FALSE)</f>
        <v>#N/A</v>
      </c>
    </row>
    <row r="36" spans="1:5">
      <c r="A36" s="114">
        <v>29</v>
      </c>
      <c r="B36" s="110" t="s">
        <v>115</v>
      </c>
      <c r="C36" s="105" t="e">
        <f>VLOOKUP(Table257519913140106110151155170178200[[#This Row],[PEG]],Table1016[#All],2,FALSE)</f>
        <v>#N/A</v>
      </c>
      <c r="D36" s="113"/>
      <c r="E36" s="122" t="e">
        <f>VLOOKUP(Table257519913140106110151155170178200[[#This Row],[PEG]],Table1016[#All],3,FALSE)</f>
        <v>#N/A</v>
      </c>
    </row>
    <row r="37" spans="1:5">
      <c r="A37" s="114">
        <v>30</v>
      </c>
      <c r="B37" s="110" t="s">
        <v>12</v>
      </c>
      <c r="C37" s="105" t="e">
        <f>VLOOKUP(Table257519913140106110151155170178200[[#This Row],[PEG]],Table1016[#All],2,FALSE)</f>
        <v>#N/A</v>
      </c>
      <c r="D37" s="113"/>
      <c r="E37" s="122" t="e">
        <f>VLOOKUP(Table257519913140106110151155170178200[[#This Row],[PEG]],Table1016[#All],3,FALSE)</f>
        <v>#N/A</v>
      </c>
    </row>
    <row r="38" spans="1:5">
      <c r="A38" s="114">
        <v>31</v>
      </c>
      <c r="B38" s="110" t="s">
        <v>12</v>
      </c>
      <c r="C38" s="105" t="e">
        <f>VLOOKUP(Table257519913140106110151155170178200[[#This Row],[PEG]],Table1016[#All],2,FALSE)</f>
        <v>#N/A</v>
      </c>
      <c r="D38" s="113"/>
      <c r="E38" s="122" t="e">
        <f>VLOOKUP(Table257519913140106110151155170178200[[#This Row],[PEG]],Table1016[#All],3,FALSE)</f>
        <v>#N/A</v>
      </c>
    </row>
    <row r="39" spans="1:5">
      <c r="A39" s="114">
        <v>32</v>
      </c>
      <c r="B39" s="110" t="s">
        <v>12</v>
      </c>
      <c r="C39" s="105" t="e">
        <f>VLOOKUP(Table257519913140106110151155170178200[[#This Row],[PEG]],Table1016[#All],2,FALSE)</f>
        <v>#N/A</v>
      </c>
      <c r="D39" s="113"/>
      <c r="E39" s="122" t="e">
        <f>VLOOKUP(Table257519913140106110151155170178200[[#This Row],[PEG]],Table1016[#All],3,FALSE)</f>
        <v>#N/A</v>
      </c>
    </row>
    <row r="40" spans="1:5">
      <c r="A40" s="114">
        <v>33</v>
      </c>
      <c r="B40" s="110" t="s">
        <v>12</v>
      </c>
      <c r="C40" s="105" t="e">
        <f>VLOOKUP(Table257519913140106110151155170178200[[#This Row],[PEG]],Table1016[#All],2,FALSE)</f>
        <v>#N/A</v>
      </c>
      <c r="D40" s="113"/>
      <c r="E40" s="122" t="e">
        <f>VLOOKUP(Table257519913140106110151155170178200[[#This Row],[PEG]],Table1016[#All],3,FALSE)</f>
        <v>#N/A</v>
      </c>
    </row>
    <row r="41" spans="1:5">
      <c r="A41" s="114">
        <v>34</v>
      </c>
      <c r="B41" s="110" t="s">
        <v>115</v>
      </c>
      <c r="C41" s="105" t="e">
        <f>VLOOKUP(Table257519913140106110151155170178200[[#This Row],[PEG]],Table1016[#All],2,FALSE)</f>
        <v>#N/A</v>
      </c>
      <c r="D41" s="113"/>
      <c r="E41" s="122" t="e">
        <f>VLOOKUP(Table257519913140106110151155170178200[[#This Row],[PEG]],Table1016[#All],3,FALSE)</f>
        <v>#N/A</v>
      </c>
    </row>
    <row r="42" spans="1:5">
      <c r="A42" s="114">
        <v>35</v>
      </c>
      <c r="B42" s="110" t="s">
        <v>12</v>
      </c>
      <c r="C42" s="105" t="e">
        <f>VLOOKUP(Table257519913140106110151155170178200[[#This Row],[PEG]],Table1016[#All],2,FALSE)</f>
        <v>#N/A</v>
      </c>
      <c r="D42" s="111"/>
      <c r="E42" s="122" t="e">
        <f>VLOOKUP(Table257519913140106110151155170178200[[#This Row],[PEG]],Table1016[#All],3,FALSE)</f>
        <v>#N/A</v>
      </c>
    </row>
    <row r="43" spans="1:5">
      <c r="A43" s="114">
        <v>36</v>
      </c>
      <c r="B43" s="110" t="s">
        <v>115</v>
      </c>
      <c r="C43" s="105" t="e">
        <f>VLOOKUP(Table257519913140106110151155170178200[[#This Row],[PEG]],Table1016[#All],2,FALSE)</f>
        <v>#N/A</v>
      </c>
      <c r="D43" s="111"/>
      <c r="E43" s="122" t="e">
        <f>VLOOKUP(Table257519913140106110151155170178200[[#This Row],[PEG]],Table1016[#All],3,FALSE)</f>
        <v>#N/A</v>
      </c>
    </row>
    <row r="44" spans="1:5">
      <c r="A44" s="114">
        <v>37</v>
      </c>
      <c r="B44" s="110" t="s">
        <v>13</v>
      </c>
      <c r="C44" s="17" t="s">
        <v>13</v>
      </c>
      <c r="D44" s="111"/>
      <c r="E44" s="31"/>
    </row>
  </sheetData>
  <mergeCells count="1">
    <mergeCell ref="A1:B1"/>
  </mergeCells>
  <conditionalFormatting sqref="B8:B18">
    <cfRule type="containsText" dxfId="1383" priority="1" operator="containsText" text="Hear">
      <formula>NOT(ISERROR(SEARCH("Hear",B8)))</formula>
    </cfRule>
  </conditionalFormatting>
  <conditionalFormatting sqref="B30">
    <cfRule type="containsText" dxfId="1382" priority="4" operator="containsText" text="Hear">
      <formula>NOT(ISERROR(SEARCH("Hear",B30)))</formula>
    </cfRule>
  </conditionalFormatting>
  <conditionalFormatting sqref="B43:B44">
    <cfRule type="containsText" dxfId="1381" priority="8" operator="containsText" text="Hear">
      <formula>NOT(ISERROR(SEARCH("Hear",B43)))</formula>
    </cfRule>
  </conditionalFormatting>
  <conditionalFormatting sqref="E44">
    <cfRule type="containsText" dxfId="1380" priority="6" operator="containsText" text="WEB SERVICE">
      <formula>NOT(ISERROR(SEARCH("WEB SERVICE",E44)))</formula>
    </cfRule>
    <cfRule type="containsText" dxfId="1379" priority="7" operator="containsText" text="DB">
      <formula>NOT(ISERROR(SEARCH("DB",E44)))</formula>
    </cfRule>
  </conditionalFormatting>
  <conditionalFormatting sqref="C44">
    <cfRule type="expression" dxfId="1378" priority="9">
      <formula>$B44="HANGUP"</formula>
    </cfRule>
    <cfRule type="expression" dxfId="1377" priority="9">
      <formula>$B44="Dial"</formula>
    </cfRule>
  </conditionalFormatting>
  <conditionalFormatting sqref="C44">
    <cfRule type="expression" dxfId="1376" priority="3">
      <formula>$B44="Speak"</formula>
    </cfRule>
  </conditionalFormatting>
  <conditionalFormatting sqref="B36:B38 B40:B41">
    <cfRule type="containsText" dxfId="1375" priority="2" operator="containsText" text="Hear">
      <formula>NOT(ISERROR(SEARCH("Hear",B36)))</formula>
    </cfRule>
  </conditionalFormatting>
  <conditionalFormatting sqref="B19:B29 B31:B35 B42">
    <cfRule type="containsText" dxfId="1374" priority="5" operator="containsText" text="Hear">
      <formula>NOT(ISERROR(SEARCH("Hear",B19)))</formula>
    </cfRule>
  </conditionalFormatting>
  <hyperlinks>
    <hyperlink ref="A1" location="'Test Case Overview'!A1" display="Return to Test Case Overview" xr:uid="{00000000-0004-0000-92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0" id="{30EB170E-B6D5-4ABA-A328-1D97DFEE36DA}">
            <xm:f>'TC1'!$B8="Dial"</xm:f>
            <x14:dxf>
              <font>
                <b/>
                <i val="0"/>
                <color rgb="FFFF0000"/>
              </font>
            </x14:dxf>
          </x14:cfRule>
          <x14:cfRule type="expression" priority="10" id="{A1EA5A18-838A-4B36-837F-3E27C9962E6B}">
            <xm:f>'TC1'!$B8="HANGUP"</xm:f>
            <x14:dxf>
              <font>
                <b/>
                <i val="0"/>
              </font>
            </x14:dxf>
          </x14:cfRule>
          <xm:sqref>C8</xm:sqref>
        </x14:conditionalFormatting>
        <x14:conditionalFormatting xmlns:xm="http://schemas.microsoft.com/office/excel/2006/main">
          <x14:cfRule type="expression" priority="11" id="{3105145E-3C4D-4DDA-8420-FE58E6C33771}">
            <xm:f>'TC1'!$B8="Speak"</xm:f>
            <x14:dxf>
              <font>
                <b/>
                <i val="0"/>
                <color rgb="FFFF0000"/>
              </font>
            </x14:dxf>
          </x14:cfRule>
          <xm:sqref>C8</xm:sqref>
        </x14:conditionalFormatting>
        <x14:conditionalFormatting xmlns:xm="http://schemas.microsoft.com/office/excel/2006/main">
          <x14:cfRule type="containsText" priority="12" operator="containsText" text="DB" id="{0B32047C-B583-4992-B034-3A7470D3DC23}">
            <xm:f>NOT(ISERROR(SEARCH("DB",'TC1'!E10)))</xm:f>
            <x14:dxf>
              <font>
                <color rgb="FF006100"/>
              </font>
              <fill>
                <patternFill>
                  <bgColor rgb="FFC6EFCE"/>
                </patternFill>
              </fill>
            </x14:dxf>
          </x14:cfRule>
          <x14:cfRule type="containsText" priority="12" operator="containsText" text="WEB SERVICE" id="{87FABD2E-701A-4615-9E25-837218EE0C96}">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containsText" priority="14" operator="containsText" text="Hear" id="{DFCE92B4-A419-4243-99D8-E7382E0AADF1}">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186" id="{30EB170E-B6D5-4ABA-A328-1D97DFEE36DA}">
            <xm:f>'TC1'!$B14="Dial"</xm:f>
            <x14:dxf>
              <font>
                <b/>
                <i val="0"/>
                <color rgb="FFFF0000"/>
              </font>
            </x14:dxf>
          </x14:cfRule>
          <x14:cfRule type="expression" priority="3187" id="{A1EA5A18-838A-4B36-837F-3E27C9962E6B}">
            <xm:f>'TC1'!$B14="HANGUP"</xm:f>
            <x14:dxf>
              <font>
                <b/>
                <i val="0"/>
              </font>
            </x14:dxf>
          </x14:cfRule>
          <xm:sqref>C34:C43</xm:sqref>
        </x14:conditionalFormatting>
        <x14:conditionalFormatting xmlns:xm="http://schemas.microsoft.com/office/excel/2006/main">
          <x14:cfRule type="expression" priority="3188" id="{30EB170E-B6D5-4ABA-A328-1D97DFEE36DA}">
            <xm:f>'TC1'!#REF!="Dial"</xm:f>
            <x14:dxf>
              <font>
                <b/>
                <i val="0"/>
                <color rgb="FFFF0000"/>
              </font>
            </x14:dxf>
          </x14:cfRule>
          <x14:cfRule type="expression" priority="3189" id="{A1EA5A18-838A-4B36-837F-3E27C9962E6B}">
            <xm:f>'TC1'!#REF!="HANGUP"</xm:f>
            <x14:dxf>
              <font>
                <b/>
                <i val="0"/>
              </font>
            </x14:dxf>
          </x14:cfRule>
          <xm:sqref>C13:C33</xm:sqref>
        </x14:conditionalFormatting>
        <x14:conditionalFormatting xmlns:xm="http://schemas.microsoft.com/office/excel/2006/main">
          <x14:cfRule type="expression" priority="3193" id="{3105145E-3C4D-4DDA-8420-FE58E6C33771}">
            <xm:f>'TC1'!$B14="Speak"</xm:f>
            <x14:dxf>
              <font>
                <b/>
                <i val="0"/>
                <color rgb="FFFF0000"/>
              </font>
            </x14:dxf>
          </x14:cfRule>
          <xm:sqref>C34:C43</xm:sqref>
        </x14:conditionalFormatting>
        <x14:conditionalFormatting xmlns:xm="http://schemas.microsoft.com/office/excel/2006/main">
          <x14:cfRule type="expression" priority="3194" id="{3105145E-3C4D-4DDA-8420-FE58E6C33771}">
            <xm:f>'TC1'!#REF!="Speak"</xm:f>
            <x14:dxf>
              <font>
                <b/>
                <i val="0"/>
                <color rgb="FFFF0000"/>
              </font>
            </x14:dxf>
          </x14:cfRule>
          <xm:sqref>C13:C33</xm:sqref>
        </x14:conditionalFormatting>
        <x14:conditionalFormatting xmlns:xm="http://schemas.microsoft.com/office/excel/2006/main">
          <x14:cfRule type="containsText" priority="3198" operator="containsText" text="DB" id="{0B32047C-B583-4992-B034-3A7470D3DC23}">
            <xm:f>NOT(ISERROR(SEARCH("DB",'TC1'!E14)))</xm:f>
            <x14:dxf>
              <font>
                <color rgb="FF006100"/>
              </font>
              <fill>
                <patternFill>
                  <bgColor rgb="FFC6EFCE"/>
                </patternFill>
              </fill>
            </x14:dxf>
          </x14:cfRule>
          <x14:cfRule type="containsText" priority="3199" operator="containsText" text="WEB SERVICE" id="{87FABD2E-701A-4615-9E25-837218EE0C96}">
            <xm:f>NOT(ISERROR(SEARCH("WEB SERVICE",'TC1'!E14)))</xm:f>
            <x14:dxf>
              <font>
                <color rgb="FF9C0006"/>
              </font>
              <fill>
                <patternFill>
                  <bgColor rgb="FFFFC7CE"/>
                </patternFill>
              </fill>
            </x14:dxf>
          </x14:cfRule>
          <xm:sqref>E34:E43</xm:sqref>
        </x14:conditionalFormatting>
        <x14:conditionalFormatting xmlns:xm="http://schemas.microsoft.com/office/excel/2006/main">
          <x14:cfRule type="containsText" priority="3200" operator="containsText" text="DB" id="{0B32047C-B583-4992-B034-3A7470D3DC23}">
            <xm:f>NOT(ISERROR(SEARCH("DB",'TC1'!#REF!)))</xm:f>
            <x14:dxf>
              <font>
                <color rgb="FF006100"/>
              </font>
              <fill>
                <patternFill>
                  <bgColor rgb="FFC6EFCE"/>
                </patternFill>
              </fill>
            </x14:dxf>
          </x14:cfRule>
          <x14:cfRule type="containsText" priority="3201" operator="containsText" text="WEB SERVICE" id="{87FABD2E-701A-4615-9E25-837218EE0C96}">
            <xm:f>NOT(ISERROR(SEARCH("WEB SERVICE",'TC1'!#REF!)))</xm:f>
            <x14:dxf>
              <font>
                <color rgb="FF9C0006"/>
              </font>
              <fill>
                <patternFill>
                  <bgColor rgb="FFFFC7CE"/>
                </patternFill>
              </fill>
            </x14:dxf>
          </x14:cfRule>
          <xm:sqref>E13:E33</xm:sqref>
        </x14:conditionalFormatting>
        <x14:conditionalFormatting xmlns:xm="http://schemas.microsoft.com/office/excel/2006/main">
          <x14:cfRule type="expression" priority="4526" id="{30EB170E-B6D5-4ABA-A328-1D97DFEE36DA}">
            <xm:f>'TC1'!$B10="Dial"</xm:f>
            <x14:dxf>
              <font>
                <b/>
                <i val="0"/>
                <color rgb="FFFF0000"/>
              </font>
            </x14:dxf>
          </x14:cfRule>
          <x14:cfRule type="expression" priority="4527" id="{A1EA5A18-838A-4B36-837F-3E27C9962E6B}">
            <xm:f>'TC1'!$B10="HANGUP"</xm:f>
            <x14:dxf>
              <font>
                <b/>
                <i val="0"/>
              </font>
            </x14:dxf>
          </x14:cfRule>
          <xm:sqref>C9:C12</xm:sqref>
        </x14:conditionalFormatting>
        <x14:conditionalFormatting xmlns:xm="http://schemas.microsoft.com/office/excel/2006/main">
          <x14:cfRule type="expression" priority="4529" id="{3105145E-3C4D-4DDA-8420-FE58E6C33771}">
            <xm:f>'TC1'!$B10="Speak"</xm:f>
            <x14:dxf>
              <font>
                <b/>
                <i val="0"/>
                <color rgb="FFFF0000"/>
              </font>
            </x14:dxf>
          </x14:cfRule>
          <xm:sqref>C9:C12</xm:sqref>
        </x14:conditionalFormatting>
        <x14:conditionalFormatting xmlns:xm="http://schemas.microsoft.com/office/excel/2006/main">
          <x14:cfRule type="containsText" priority="6468" operator="containsText" text="Hear" id="{2C03AB8B-2337-4DBF-8E86-FA7808C7FE28}">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sheetPr codeName="Sheet149"/>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TC147</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VLOOKUP(Table257519913140106110151155170178202[[#This Row],[PEG]],Table1016[#All],2,FALSE)</f>
        <v>#N/A</v>
      </c>
      <c r="D9" s="125"/>
      <c r="E9" s="122" t="e">
        <f>VLOOKUP(Table257519913140106110151155170178202[[#This Row],[PEG]],Table1016[#All],3,FALSE)</f>
        <v>#N/A</v>
      </c>
    </row>
    <row r="10" spans="1:5">
      <c r="A10" s="114">
        <v>3</v>
      </c>
      <c r="B10" s="110" t="s">
        <v>115</v>
      </c>
      <c r="C10" s="105" t="e">
        <f>VLOOKUP(Table257519913140106110151155170178202[[#This Row],[PEG]],Table1016[#All],2,FALSE)</f>
        <v>#N/A</v>
      </c>
      <c r="D10" s="125"/>
      <c r="E10" s="122" t="e">
        <f>VLOOKUP(Table257519913140106110151155170178202[[#This Row],[PEG]],Table1016[#All],3,FALSE)</f>
        <v>#N/A</v>
      </c>
    </row>
    <row r="11" spans="1:5">
      <c r="A11" s="114">
        <v>4</v>
      </c>
      <c r="B11" s="110" t="s">
        <v>115</v>
      </c>
      <c r="C11" s="105" t="e">
        <f>VLOOKUP(Table257519913140106110151155170178202[[#This Row],[PEG]],Table1016[#All],2,FALSE)</f>
        <v>#N/A</v>
      </c>
      <c r="D11" s="125"/>
      <c r="E11" s="122" t="e">
        <f>VLOOKUP(Table257519913140106110151155170178202[[#This Row],[PEG]],Table1016[#All],3,FALSE)</f>
        <v>#N/A</v>
      </c>
    </row>
    <row r="12" spans="1:5">
      <c r="A12" s="114">
        <v>5</v>
      </c>
      <c r="B12" s="110" t="s">
        <v>114</v>
      </c>
      <c r="C12" s="105" t="e">
        <f>VLOOKUP(Table257519913140106110151155170178202[[#This Row],[PEG]],Table1016[#All],2,FALSE)</f>
        <v>#N/A</v>
      </c>
      <c r="D12" s="125"/>
      <c r="E12" s="122" t="e">
        <f>VLOOKUP(Table257519913140106110151155170178202[[#This Row],[PEG]],Table1016[#All],3,FALSE)</f>
        <v>#N/A</v>
      </c>
    </row>
    <row r="13" spans="1:5">
      <c r="A13" s="114">
        <v>6</v>
      </c>
      <c r="B13" s="110" t="s">
        <v>115</v>
      </c>
      <c r="C13" s="105" t="e">
        <f>VLOOKUP(Table257519913140106110151155170178202[[#This Row],[PEG]],Table1016[#All],2,FALSE)</f>
        <v>#N/A</v>
      </c>
      <c r="D13" s="125"/>
      <c r="E13" s="122" t="e">
        <f>VLOOKUP(Table257519913140106110151155170178202[[#This Row],[PEG]],Table1016[#All],3,FALSE)</f>
        <v>#N/A</v>
      </c>
    </row>
    <row r="14" spans="1:5">
      <c r="A14" s="114">
        <v>7</v>
      </c>
      <c r="B14" s="110" t="s">
        <v>114</v>
      </c>
      <c r="C14" s="105" t="e">
        <f>VLOOKUP(Table257519913140106110151155170178202[[#This Row],[PEG]],Table1016[#All],2,FALSE)</f>
        <v>#N/A</v>
      </c>
      <c r="D14" s="125"/>
      <c r="E14" s="122" t="e">
        <f>VLOOKUP(Table257519913140106110151155170178202[[#This Row],[PEG]],Table1016[#All],3,FALSE)</f>
        <v>#N/A</v>
      </c>
    </row>
    <row r="15" spans="1:5">
      <c r="A15" s="114">
        <v>8</v>
      </c>
      <c r="B15" s="110" t="s">
        <v>115</v>
      </c>
      <c r="C15" s="105" t="e">
        <f>VLOOKUP(Table257519913140106110151155170178202[[#This Row],[PEG]],Table1016[#All],2,FALSE)</f>
        <v>#N/A</v>
      </c>
      <c r="D15" s="112"/>
      <c r="E15" s="122" t="e">
        <f>VLOOKUP(Table257519913140106110151155170178202[[#This Row],[PEG]],Table1016[#All],3,FALSE)</f>
        <v>#N/A</v>
      </c>
    </row>
    <row r="16" spans="1:5">
      <c r="A16" s="114">
        <v>9</v>
      </c>
      <c r="B16" s="110" t="s">
        <v>12</v>
      </c>
      <c r="C16" s="105" t="e">
        <f>VLOOKUP(Table257519913140106110151155170178202[[#This Row],[PEG]],Table1016[#All],2,FALSE)</f>
        <v>#N/A</v>
      </c>
      <c r="D16" s="112"/>
      <c r="E16" s="122" t="e">
        <f>VLOOKUP(Table257519913140106110151155170178202[[#This Row],[PEG]],Table1016[#All],3,FALSE)</f>
        <v>#N/A</v>
      </c>
    </row>
    <row r="17" spans="1:5">
      <c r="A17" s="114">
        <v>10</v>
      </c>
      <c r="B17" s="110" t="s">
        <v>12</v>
      </c>
      <c r="C17" s="105" t="e">
        <f>VLOOKUP(Table257519913140106110151155170178202[[#This Row],[PEG]],Table1016[#All],2,FALSE)</f>
        <v>#N/A</v>
      </c>
      <c r="D17" s="113"/>
      <c r="E17" s="122" t="e">
        <f>VLOOKUP(Table257519913140106110151155170178202[[#This Row],[PEG]],Table1016[#All],3,FALSE)</f>
        <v>#N/A</v>
      </c>
    </row>
    <row r="18" spans="1:5">
      <c r="A18" s="114">
        <v>11</v>
      </c>
      <c r="B18" s="110" t="s">
        <v>115</v>
      </c>
      <c r="C18" s="105" t="e">
        <f>VLOOKUP(Table257519913140106110151155170178202[[#This Row],[PEG]],Table1016[#All],2,FALSE)</f>
        <v>#N/A</v>
      </c>
      <c r="D18" s="113"/>
      <c r="E18" s="122" t="e">
        <f>VLOOKUP(Table257519913140106110151155170178202[[#This Row],[PEG]],Table1016[#All],3,FALSE)</f>
        <v>#N/A</v>
      </c>
    </row>
    <row r="19" spans="1:5">
      <c r="A19" s="114">
        <v>12</v>
      </c>
      <c r="B19" s="110" t="s">
        <v>115</v>
      </c>
      <c r="C19" s="105" t="e">
        <f>VLOOKUP(Table257519913140106110151155170178202[[#This Row],[PEG]],Table1016[#All],2,FALSE)</f>
        <v>#N/A</v>
      </c>
      <c r="D19" s="113"/>
      <c r="E19" s="122" t="e">
        <f>VLOOKUP(Table257519913140106110151155170178202[[#This Row],[PEG]],Table1016[#All],3,FALSE)</f>
        <v>#N/A</v>
      </c>
    </row>
    <row r="20" spans="1:5">
      <c r="A20" s="114">
        <v>13</v>
      </c>
      <c r="B20" s="110" t="s">
        <v>114</v>
      </c>
      <c r="C20" s="105" t="e">
        <f>VLOOKUP(Table257519913140106110151155170178202[[#This Row],[PEG]],Table1016[#All],2,FALSE)</f>
        <v>#N/A</v>
      </c>
      <c r="D20" s="113"/>
      <c r="E20" s="122" t="e">
        <f>VLOOKUP(Table257519913140106110151155170178202[[#This Row],[PEG]],Table1016[#All],3,FALSE)</f>
        <v>#N/A</v>
      </c>
    </row>
    <row r="21" spans="1:5">
      <c r="A21" s="114">
        <v>14</v>
      </c>
      <c r="B21" s="110" t="s">
        <v>12</v>
      </c>
      <c r="C21" s="105" t="e">
        <f>VLOOKUP(Table257519913140106110151155170178202[[#This Row],[PEG]],Table1016[#All],2,FALSE)</f>
        <v>#N/A</v>
      </c>
      <c r="D21" s="113"/>
      <c r="E21" s="122" t="e">
        <f>VLOOKUP(Table257519913140106110151155170178202[[#This Row],[PEG]],Table1016[#All],3,FALSE)</f>
        <v>#N/A</v>
      </c>
    </row>
    <row r="22" spans="1:5">
      <c r="A22" s="114">
        <v>15</v>
      </c>
      <c r="B22" s="110" t="s">
        <v>12</v>
      </c>
      <c r="C22" s="105" t="e">
        <f>VLOOKUP(Table257519913140106110151155170178202[[#This Row],[PEG]],Table1016[#All],2,FALSE)</f>
        <v>#N/A</v>
      </c>
      <c r="D22" s="113"/>
      <c r="E22" s="122" t="e">
        <f>VLOOKUP(Table257519913140106110151155170178202[[#This Row],[PEG]],Table1016[#All],3,FALSE)</f>
        <v>#N/A</v>
      </c>
    </row>
    <row r="23" spans="1:5">
      <c r="A23" s="114">
        <v>16</v>
      </c>
      <c r="B23" s="110" t="s">
        <v>115</v>
      </c>
      <c r="C23" s="105" t="e">
        <f>VLOOKUP(Table257519913140106110151155170178202[[#This Row],[PEG]],Table1016[#All],2,FALSE)</f>
        <v>#N/A</v>
      </c>
      <c r="D23" s="113"/>
      <c r="E23" s="122" t="e">
        <f>VLOOKUP(Table257519913140106110151155170178202[[#This Row],[PEG]],Table1016[#All],3,FALSE)</f>
        <v>#N/A</v>
      </c>
    </row>
    <row r="24" spans="1:5">
      <c r="A24" s="114">
        <v>17</v>
      </c>
      <c r="B24" s="110" t="s">
        <v>114</v>
      </c>
      <c r="C24" s="105" t="e">
        <f>VLOOKUP(Table257519913140106110151155170178202[[#This Row],[PEG]],Table1016[#All],2,FALSE)</f>
        <v>#N/A</v>
      </c>
      <c r="D24" s="113"/>
      <c r="E24" s="122" t="e">
        <f>VLOOKUP(Table257519913140106110151155170178202[[#This Row],[PEG]],Table1016[#All],3,FALSE)</f>
        <v>#N/A</v>
      </c>
    </row>
    <row r="25" spans="1:5">
      <c r="A25" s="114">
        <v>18</v>
      </c>
      <c r="B25" s="110" t="s">
        <v>12</v>
      </c>
      <c r="C25" s="105" t="e">
        <f>VLOOKUP(Table257519913140106110151155170178202[[#This Row],[PEG]],Table1016[#All],2,FALSE)</f>
        <v>#N/A</v>
      </c>
      <c r="D25" s="113"/>
      <c r="E25" s="122" t="e">
        <f>VLOOKUP(Table257519913140106110151155170178202[[#This Row],[PEG]],Table1016[#All],3,FALSE)</f>
        <v>#N/A</v>
      </c>
    </row>
    <row r="26" spans="1:5">
      <c r="A26" s="114">
        <v>19</v>
      </c>
      <c r="B26" s="110" t="s">
        <v>12</v>
      </c>
      <c r="C26" s="105" t="e">
        <f>VLOOKUP(Table257519913140106110151155170178202[[#This Row],[PEG]],Table1016[#All],2,FALSE)</f>
        <v>#N/A</v>
      </c>
      <c r="D26" s="113"/>
      <c r="E26" s="122" t="e">
        <f>VLOOKUP(Table257519913140106110151155170178202[[#This Row],[PEG]],Table1016[#All],3,FALSE)</f>
        <v>#N/A</v>
      </c>
    </row>
    <row r="27" spans="1:5">
      <c r="A27" s="114">
        <v>20</v>
      </c>
      <c r="B27" s="110" t="s">
        <v>115</v>
      </c>
      <c r="C27" s="105" t="e">
        <f>VLOOKUP(Table257519913140106110151155170178202[[#This Row],[PEG]],Table1016[#All],2,FALSE)</f>
        <v>#N/A</v>
      </c>
      <c r="D27" s="113"/>
      <c r="E27" s="122" t="e">
        <f>VLOOKUP(Table257519913140106110151155170178202[[#This Row],[PEG]],Table1016[#All],3,FALSE)</f>
        <v>#N/A</v>
      </c>
    </row>
    <row r="28" spans="1:5">
      <c r="A28" s="114">
        <v>21</v>
      </c>
      <c r="B28" s="110" t="s">
        <v>114</v>
      </c>
      <c r="C28" s="105" t="e">
        <f>VLOOKUP(Table257519913140106110151155170178202[[#This Row],[PEG]],Table1016[#All],2,FALSE)</f>
        <v>#N/A</v>
      </c>
      <c r="D28" s="113"/>
      <c r="E28" s="122" t="e">
        <f>VLOOKUP(Table257519913140106110151155170178202[[#This Row],[PEG]],Table1016[#All],3,FALSE)</f>
        <v>#N/A</v>
      </c>
    </row>
    <row r="29" spans="1:5">
      <c r="A29" s="114">
        <v>22</v>
      </c>
      <c r="B29" s="110" t="s">
        <v>12</v>
      </c>
      <c r="C29" s="105" t="e">
        <f>VLOOKUP(Table257519913140106110151155170178202[[#This Row],[PEG]],Table1016[#All],2,FALSE)</f>
        <v>#N/A</v>
      </c>
      <c r="D29" s="113"/>
      <c r="E29" s="122" t="e">
        <f>VLOOKUP(Table257519913140106110151155170178202[[#This Row],[PEG]],Table1016[#All],3,FALSE)</f>
        <v>#N/A</v>
      </c>
    </row>
    <row r="30" spans="1:5">
      <c r="A30" s="114">
        <v>23</v>
      </c>
      <c r="B30" s="110" t="s">
        <v>12</v>
      </c>
      <c r="C30" s="105" t="e">
        <f>VLOOKUP(Table257519913140106110151155170178202[[#This Row],[PEG]],Table1016[#All],2,FALSE)</f>
        <v>#N/A</v>
      </c>
      <c r="D30" s="113"/>
      <c r="E30" s="122" t="e">
        <f>VLOOKUP(Table257519913140106110151155170178202[[#This Row],[PEG]],Table1016[#All],3,FALSE)</f>
        <v>#N/A</v>
      </c>
    </row>
    <row r="31" spans="1:5">
      <c r="A31" s="114">
        <v>24</v>
      </c>
      <c r="B31" s="110" t="s">
        <v>115</v>
      </c>
      <c r="C31" s="105" t="e">
        <f>VLOOKUP(Table257519913140106110151155170178202[[#This Row],[PEG]],Table1016[#All],2,FALSE)</f>
        <v>#N/A</v>
      </c>
      <c r="D31" s="113"/>
      <c r="E31" s="122" t="e">
        <f>VLOOKUP(Table257519913140106110151155170178202[[#This Row],[PEG]],Table1016[#All],3,FALSE)</f>
        <v>#N/A</v>
      </c>
    </row>
    <row r="32" spans="1:5">
      <c r="A32" s="114">
        <v>25</v>
      </c>
      <c r="B32" s="110" t="s">
        <v>115</v>
      </c>
      <c r="C32" s="105" t="e">
        <f>VLOOKUP(Table257519913140106110151155170178202[[#This Row],[PEG]],Table1016[#All],2,FALSE)</f>
        <v>#N/A</v>
      </c>
      <c r="D32" s="113"/>
      <c r="E32" s="122" t="e">
        <f>VLOOKUP(Table257519913140106110151155170178202[[#This Row],[PEG]],Table1016[#All],3,FALSE)</f>
        <v>#N/A</v>
      </c>
    </row>
    <row r="33" spans="1:5">
      <c r="A33" s="114">
        <v>26</v>
      </c>
      <c r="B33" s="110" t="s">
        <v>124</v>
      </c>
      <c r="C33" s="105" t="e">
        <f>VLOOKUP(Table257519913140106110151155170178202[[#This Row],[PEG]],Table1016[#All],2,FALSE)</f>
        <v>#N/A</v>
      </c>
      <c r="D33" s="113"/>
      <c r="E33" s="122" t="e">
        <f>VLOOKUP(Table257519913140106110151155170178202[[#This Row],[PEG]],Table1016[#All],3,FALSE)</f>
        <v>#N/A</v>
      </c>
    </row>
    <row r="34" spans="1:5">
      <c r="A34" s="114">
        <v>27</v>
      </c>
      <c r="B34" s="110" t="s">
        <v>115</v>
      </c>
      <c r="C34" s="105" t="e">
        <f>VLOOKUP(Table257519913140106110151155170178202[[#This Row],[PEG]],Table1016[#All],2,FALSE)</f>
        <v>#N/A</v>
      </c>
      <c r="D34" s="113"/>
      <c r="E34" s="122" t="e">
        <f>VLOOKUP(Table257519913140106110151155170178202[[#This Row],[PEG]],Table1016[#All],3,FALSE)</f>
        <v>#N/A</v>
      </c>
    </row>
    <row r="35" spans="1:5">
      <c r="A35" s="114">
        <v>28</v>
      </c>
      <c r="B35" s="110" t="s">
        <v>124</v>
      </c>
      <c r="C35" s="105" t="e">
        <f>VLOOKUP(Table257519913140106110151155170178202[[#This Row],[PEG]],Table1016[#All],2,FALSE)</f>
        <v>#N/A</v>
      </c>
      <c r="D35" s="113"/>
      <c r="E35" s="122" t="e">
        <f>VLOOKUP(Table257519913140106110151155170178202[[#This Row],[PEG]],Table1016[#All],3,FALSE)</f>
        <v>#N/A</v>
      </c>
    </row>
    <row r="36" spans="1:5">
      <c r="A36" s="114">
        <v>29</v>
      </c>
      <c r="B36" s="110" t="s">
        <v>115</v>
      </c>
      <c r="C36" s="105" t="e">
        <f>VLOOKUP(Table257519913140106110151155170178202[[#This Row],[PEG]],Table1016[#All],2,FALSE)</f>
        <v>#N/A</v>
      </c>
      <c r="D36" s="113"/>
      <c r="E36" s="122" t="e">
        <f>VLOOKUP(Table257519913140106110151155170178202[[#This Row],[PEG]],Table1016[#All],3,FALSE)</f>
        <v>#N/A</v>
      </c>
    </row>
    <row r="37" spans="1:5">
      <c r="A37" s="114">
        <v>30</v>
      </c>
      <c r="B37" s="110" t="s">
        <v>12</v>
      </c>
      <c r="C37" s="105" t="e">
        <f>VLOOKUP(Table257519913140106110151155170178202[[#This Row],[PEG]],Table1016[#All],2,FALSE)</f>
        <v>#N/A</v>
      </c>
      <c r="D37" s="113"/>
      <c r="E37" s="122" t="e">
        <f>VLOOKUP(Table257519913140106110151155170178202[[#This Row],[PEG]],Table1016[#All],3,FALSE)</f>
        <v>#N/A</v>
      </c>
    </row>
    <row r="38" spans="1:5">
      <c r="A38" s="114">
        <v>31</v>
      </c>
      <c r="B38" s="110" t="s">
        <v>12</v>
      </c>
      <c r="C38" s="105" t="e">
        <f>VLOOKUP(Table257519913140106110151155170178202[[#This Row],[PEG]],Table1016[#All],2,FALSE)</f>
        <v>#N/A</v>
      </c>
      <c r="D38" s="113"/>
      <c r="E38" s="122" t="e">
        <f>VLOOKUP(Table257519913140106110151155170178202[[#This Row],[PEG]],Table1016[#All],3,FALSE)</f>
        <v>#N/A</v>
      </c>
    </row>
    <row r="39" spans="1:5">
      <c r="A39" s="114">
        <v>32</v>
      </c>
      <c r="B39" s="110" t="s">
        <v>12</v>
      </c>
      <c r="C39" s="105" t="e">
        <f>VLOOKUP(Table257519913140106110151155170178202[[#This Row],[PEG]],Table1016[#All],2,FALSE)</f>
        <v>#N/A</v>
      </c>
      <c r="D39" s="113"/>
      <c r="E39" s="122" t="e">
        <f>VLOOKUP(Table257519913140106110151155170178202[[#This Row],[PEG]],Table1016[#All],3,FALSE)</f>
        <v>#N/A</v>
      </c>
    </row>
    <row r="40" spans="1:5">
      <c r="A40" s="114">
        <v>33</v>
      </c>
      <c r="B40" s="110" t="s">
        <v>12</v>
      </c>
      <c r="C40" s="105" t="e">
        <f>VLOOKUP(Table257519913140106110151155170178202[[#This Row],[PEG]],Table1016[#All],2,FALSE)</f>
        <v>#N/A</v>
      </c>
      <c r="D40" s="113"/>
      <c r="E40" s="122" t="e">
        <f>VLOOKUP(Table257519913140106110151155170178202[[#This Row],[PEG]],Table1016[#All],3,FALSE)</f>
        <v>#N/A</v>
      </c>
    </row>
    <row r="41" spans="1:5">
      <c r="A41" s="114">
        <v>34</v>
      </c>
      <c r="B41" s="110" t="s">
        <v>115</v>
      </c>
      <c r="C41" s="105" t="e">
        <f>VLOOKUP(Table257519913140106110151155170178202[[#This Row],[PEG]],Table1016[#All],2,FALSE)</f>
        <v>#N/A</v>
      </c>
      <c r="D41" s="113"/>
      <c r="E41" s="122" t="e">
        <f>VLOOKUP(Table257519913140106110151155170178202[[#This Row],[PEG]],Table1016[#All],3,FALSE)</f>
        <v>#N/A</v>
      </c>
    </row>
    <row r="42" spans="1:5">
      <c r="A42" s="114">
        <v>35</v>
      </c>
      <c r="B42" s="110" t="s">
        <v>12</v>
      </c>
      <c r="C42" s="105" t="e">
        <f>VLOOKUP(Table257519913140106110151155170178202[[#This Row],[PEG]],Table1016[#All],2,FALSE)</f>
        <v>#N/A</v>
      </c>
      <c r="D42" s="111"/>
      <c r="E42" s="122" t="e">
        <f>VLOOKUP(Table257519913140106110151155170178202[[#This Row],[PEG]],Table1016[#All],3,FALSE)</f>
        <v>#N/A</v>
      </c>
    </row>
    <row r="43" spans="1:5">
      <c r="A43" s="114">
        <v>36</v>
      </c>
      <c r="B43" s="110" t="s">
        <v>115</v>
      </c>
      <c r="C43" s="105" t="e">
        <f>VLOOKUP(Table257519913140106110151155170178202[[#This Row],[PEG]],Table1016[#All],2,FALSE)</f>
        <v>#N/A</v>
      </c>
      <c r="D43" s="111"/>
      <c r="E43" s="122" t="e">
        <f>VLOOKUP(Table257519913140106110151155170178202[[#This Row],[PEG]],Table1016[#All],3,FALSE)</f>
        <v>#N/A</v>
      </c>
    </row>
    <row r="44" spans="1:5">
      <c r="A44" s="114">
        <v>37</v>
      </c>
      <c r="B44" s="110" t="s">
        <v>13</v>
      </c>
      <c r="C44" s="17" t="s">
        <v>13</v>
      </c>
      <c r="D44" s="111"/>
      <c r="E44" s="31"/>
    </row>
  </sheetData>
  <mergeCells count="1">
    <mergeCell ref="A1:B1"/>
  </mergeCells>
  <conditionalFormatting sqref="B8:B18">
    <cfRule type="containsText" dxfId="1344" priority="1" operator="containsText" text="Hear">
      <formula>NOT(ISERROR(SEARCH("Hear",B8)))</formula>
    </cfRule>
  </conditionalFormatting>
  <conditionalFormatting sqref="B30">
    <cfRule type="containsText" dxfId="1343" priority="4" operator="containsText" text="Hear">
      <formula>NOT(ISERROR(SEARCH("Hear",B30)))</formula>
    </cfRule>
  </conditionalFormatting>
  <conditionalFormatting sqref="B43:B44">
    <cfRule type="containsText" dxfId="1342" priority="8" operator="containsText" text="Hear">
      <formula>NOT(ISERROR(SEARCH("Hear",B43)))</formula>
    </cfRule>
  </conditionalFormatting>
  <conditionalFormatting sqref="E44">
    <cfRule type="containsText" dxfId="1341" priority="6" operator="containsText" text="WEB SERVICE">
      <formula>NOT(ISERROR(SEARCH("WEB SERVICE",E44)))</formula>
    </cfRule>
    <cfRule type="containsText" dxfId="1340" priority="7" operator="containsText" text="DB">
      <formula>NOT(ISERROR(SEARCH("DB",E44)))</formula>
    </cfRule>
  </conditionalFormatting>
  <conditionalFormatting sqref="C44">
    <cfRule type="expression" dxfId="1339" priority="9">
      <formula>$B44="HANGUP"</formula>
    </cfRule>
    <cfRule type="expression" dxfId="1338" priority="9">
      <formula>$B44="Dial"</formula>
    </cfRule>
  </conditionalFormatting>
  <conditionalFormatting sqref="C44">
    <cfRule type="expression" dxfId="1337" priority="3">
      <formula>$B44="Speak"</formula>
    </cfRule>
  </conditionalFormatting>
  <conditionalFormatting sqref="B36:B38 B40:B41">
    <cfRule type="containsText" dxfId="1336" priority="2" operator="containsText" text="Hear">
      <formula>NOT(ISERROR(SEARCH("Hear",B36)))</formula>
    </cfRule>
  </conditionalFormatting>
  <conditionalFormatting sqref="B19:B29 B31:B35 B42">
    <cfRule type="containsText" dxfId="1335" priority="5" operator="containsText" text="Hear">
      <formula>NOT(ISERROR(SEARCH("Hear",B19)))</formula>
    </cfRule>
  </conditionalFormatting>
  <hyperlinks>
    <hyperlink ref="A1" location="'Test Case Overview'!A1" display="Return to Test Case Overview" xr:uid="{00000000-0004-0000-93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0" id="{FC4769FD-2062-4662-AA8F-671D31FC7321}">
            <xm:f>'TC1'!$B8="Dial"</xm:f>
            <x14:dxf>
              <font>
                <b/>
                <i val="0"/>
                <color rgb="FFFF0000"/>
              </font>
            </x14:dxf>
          </x14:cfRule>
          <x14:cfRule type="expression" priority="10" id="{DCFD6B69-6601-49FD-A0DF-61A0C9E86CE6}">
            <xm:f>'TC1'!$B8="HANGUP"</xm:f>
            <x14:dxf>
              <font>
                <b/>
                <i val="0"/>
              </font>
            </x14:dxf>
          </x14:cfRule>
          <xm:sqref>C8</xm:sqref>
        </x14:conditionalFormatting>
        <x14:conditionalFormatting xmlns:xm="http://schemas.microsoft.com/office/excel/2006/main">
          <x14:cfRule type="expression" priority="11" id="{37D0A747-A85C-468C-9288-8BEC2AB30E3C}">
            <xm:f>'TC1'!$B8="Speak"</xm:f>
            <x14:dxf>
              <font>
                <b/>
                <i val="0"/>
                <color rgb="FFFF0000"/>
              </font>
            </x14:dxf>
          </x14:cfRule>
          <xm:sqref>C8</xm:sqref>
        </x14:conditionalFormatting>
        <x14:conditionalFormatting xmlns:xm="http://schemas.microsoft.com/office/excel/2006/main">
          <x14:cfRule type="containsText" priority="12" operator="containsText" text="DB" id="{7CA268D7-C101-480A-9692-9730F4A34997}">
            <xm:f>NOT(ISERROR(SEARCH("DB",'TC1'!E10)))</xm:f>
            <x14:dxf>
              <font>
                <color rgb="FF006100"/>
              </font>
              <fill>
                <patternFill>
                  <bgColor rgb="FFC6EFCE"/>
                </patternFill>
              </fill>
            </x14:dxf>
          </x14:cfRule>
          <x14:cfRule type="containsText" priority="12" operator="containsText" text="WEB SERVICE" id="{FC9E33E6-D103-4162-B252-AE685112591F}">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containsText" priority="14" operator="containsText" text="Hear" id="{CE5328FD-BA04-49EB-B764-6C421FD6D8CE}">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206" id="{FC4769FD-2062-4662-AA8F-671D31FC7321}">
            <xm:f>'TC1'!$B14="Dial"</xm:f>
            <x14:dxf>
              <font>
                <b/>
                <i val="0"/>
                <color rgb="FFFF0000"/>
              </font>
            </x14:dxf>
          </x14:cfRule>
          <x14:cfRule type="expression" priority="3207" id="{DCFD6B69-6601-49FD-A0DF-61A0C9E86CE6}">
            <xm:f>'TC1'!$B14="HANGUP"</xm:f>
            <x14:dxf>
              <font>
                <b/>
                <i val="0"/>
              </font>
            </x14:dxf>
          </x14:cfRule>
          <xm:sqref>C34:C43</xm:sqref>
        </x14:conditionalFormatting>
        <x14:conditionalFormatting xmlns:xm="http://schemas.microsoft.com/office/excel/2006/main">
          <x14:cfRule type="expression" priority="3208" id="{FC4769FD-2062-4662-AA8F-671D31FC7321}">
            <xm:f>'TC1'!#REF!="Dial"</xm:f>
            <x14:dxf>
              <font>
                <b/>
                <i val="0"/>
                <color rgb="FFFF0000"/>
              </font>
            </x14:dxf>
          </x14:cfRule>
          <x14:cfRule type="expression" priority="3209" id="{DCFD6B69-6601-49FD-A0DF-61A0C9E86CE6}">
            <xm:f>'TC1'!#REF!="HANGUP"</xm:f>
            <x14:dxf>
              <font>
                <b/>
                <i val="0"/>
              </font>
            </x14:dxf>
          </x14:cfRule>
          <xm:sqref>C13:C33</xm:sqref>
        </x14:conditionalFormatting>
        <x14:conditionalFormatting xmlns:xm="http://schemas.microsoft.com/office/excel/2006/main">
          <x14:cfRule type="expression" priority="3213" id="{37D0A747-A85C-468C-9288-8BEC2AB30E3C}">
            <xm:f>'TC1'!$B14="Speak"</xm:f>
            <x14:dxf>
              <font>
                <b/>
                <i val="0"/>
                <color rgb="FFFF0000"/>
              </font>
            </x14:dxf>
          </x14:cfRule>
          <xm:sqref>C34:C43</xm:sqref>
        </x14:conditionalFormatting>
        <x14:conditionalFormatting xmlns:xm="http://schemas.microsoft.com/office/excel/2006/main">
          <x14:cfRule type="expression" priority="3214" id="{37D0A747-A85C-468C-9288-8BEC2AB30E3C}">
            <xm:f>'TC1'!#REF!="Speak"</xm:f>
            <x14:dxf>
              <font>
                <b/>
                <i val="0"/>
                <color rgb="FFFF0000"/>
              </font>
            </x14:dxf>
          </x14:cfRule>
          <xm:sqref>C13:C33</xm:sqref>
        </x14:conditionalFormatting>
        <x14:conditionalFormatting xmlns:xm="http://schemas.microsoft.com/office/excel/2006/main">
          <x14:cfRule type="containsText" priority="3218" operator="containsText" text="DB" id="{7CA268D7-C101-480A-9692-9730F4A34997}">
            <xm:f>NOT(ISERROR(SEARCH("DB",'TC1'!E14)))</xm:f>
            <x14:dxf>
              <font>
                <color rgb="FF006100"/>
              </font>
              <fill>
                <patternFill>
                  <bgColor rgb="FFC6EFCE"/>
                </patternFill>
              </fill>
            </x14:dxf>
          </x14:cfRule>
          <x14:cfRule type="containsText" priority="3219" operator="containsText" text="WEB SERVICE" id="{FC9E33E6-D103-4162-B252-AE685112591F}">
            <xm:f>NOT(ISERROR(SEARCH("WEB SERVICE",'TC1'!E14)))</xm:f>
            <x14:dxf>
              <font>
                <color rgb="FF9C0006"/>
              </font>
              <fill>
                <patternFill>
                  <bgColor rgb="FFFFC7CE"/>
                </patternFill>
              </fill>
            </x14:dxf>
          </x14:cfRule>
          <xm:sqref>E34:E43</xm:sqref>
        </x14:conditionalFormatting>
        <x14:conditionalFormatting xmlns:xm="http://schemas.microsoft.com/office/excel/2006/main">
          <x14:cfRule type="containsText" priority="3220" operator="containsText" text="DB" id="{7CA268D7-C101-480A-9692-9730F4A34997}">
            <xm:f>NOT(ISERROR(SEARCH("DB",'TC1'!#REF!)))</xm:f>
            <x14:dxf>
              <font>
                <color rgb="FF006100"/>
              </font>
              <fill>
                <patternFill>
                  <bgColor rgb="FFC6EFCE"/>
                </patternFill>
              </fill>
            </x14:dxf>
          </x14:cfRule>
          <x14:cfRule type="containsText" priority="3221" operator="containsText" text="WEB SERVICE" id="{FC9E33E6-D103-4162-B252-AE685112591F}">
            <xm:f>NOT(ISERROR(SEARCH("WEB SERVICE",'TC1'!#REF!)))</xm:f>
            <x14:dxf>
              <font>
                <color rgb="FF9C0006"/>
              </font>
              <fill>
                <patternFill>
                  <bgColor rgb="FFFFC7CE"/>
                </patternFill>
              </fill>
            </x14:dxf>
          </x14:cfRule>
          <xm:sqref>E13:E33</xm:sqref>
        </x14:conditionalFormatting>
        <x14:conditionalFormatting xmlns:xm="http://schemas.microsoft.com/office/excel/2006/main">
          <x14:cfRule type="expression" priority="4534" id="{FC4769FD-2062-4662-AA8F-671D31FC7321}">
            <xm:f>'TC1'!$B10="Dial"</xm:f>
            <x14:dxf>
              <font>
                <b/>
                <i val="0"/>
                <color rgb="FFFF0000"/>
              </font>
            </x14:dxf>
          </x14:cfRule>
          <x14:cfRule type="expression" priority="4535" id="{DCFD6B69-6601-49FD-A0DF-61A0C9E86CE6}">
            <xm:f>'TC1'!$B10="HANGUP"</xm:f>
            <x14:dxf>
              <font>
                <b/>
                <i val="0"/>
              </font>
            </x14:dxf>
          </x14:cfRule>
          <xm:sqref>C9:C12</xm:sqref>
        </x14:conditionalFormatting>
        <x14:conditionalFormatting xmlns:xm="http://schemas.microsoft.com/office/excel/2006/main">
          <x14:cfRule type="expression" priority="4537" id="{37D0A747-A85C-468C-9288-8BEC2AB30E3C}">
            <xm:f>'TC1'!$B10="Speak"</xm:f>
            <x14:dxf>
              <font>
                <b/>
                <i val="0"/>
                <color rgb="FFFF0000"/>
              </font>
            </x14:dxf>
          </x14:cfRule>
          <xm:sqref>C9:C12</xm:sqref>
        </x14:conditionalFormatting>
        <x14:conditionalFormatting xmlns:xm="http://schemas.microsoft.com/office/excel/2006/main">
          <x14:cfRule type="containsText" priority="6483" operator="containsText" text="Hear" id="{CD41E4E0-82A1-4D5E-8A25-805FE41C7041}">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sheetPr codeName="Sheet150"/>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TC148</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VLOOKUP(Table257519913140106110151155170178204[[#This Row],[PEG]],Table1016[#All],2,FALSE)</f>
        <v>#N/A</v>
      </c>
      <c r="D9" s="125"/>
      <c r="E9" s="122" t="e">
        <f>VLOOKUP(Table257519913140106110151155170178204[[#This Row],[PEG]],Table1016[#All],3,FALSE)</f>
        <v>#N/A</v>
      </c>
    </row>
    <row r="10" spans="1:5">
      <c r="A10" s="114">
        <v>3</v>
      </c>
      <c r="B10" s="110" t="s">
        <v>115</v>
      </c>
      <c r="C10" s="105" t="e">
        <f>VLOOKUP(Table257519913140106110151155170178204[[#This Row],[PEG]],Table1016[#All],2,FALSE)</f>
        <v>#N/A</v>
      </c>
      <c r="D10" s="125"/>
      <c r="E10" s="122" t="e">
        <f>VLOOKUP(Table257519913140106110151155170178204[[#This Row],[PEG]],Table1016[#All],3,FALSE)</f>
        <v>#N/A</v>
      </c>
    </row>
    <row r="11" spans="1:5">
      <c r="A11" s="114">
        <v>4</v>
      </c>
      <c r="B11" s="110" t="s">
        <v>115</v>
      </c>
      <c r="C11" s="105" t="e">
        <f>VLOOKUP(Table257519913140106110151155170178204[[#This Row],[PEG]],Table1016[#All],2,FALSE)</f>
        <v>#N/A</v>
      </c>
      <c r="D11" s="125"/>
      <c r="E11" s="122" t="e">
        <f>VLOOKUP(Table257519913140106110151155170178204[[#This Row],[PEG]],Table1016[#All],3,FALSE)</f>
        <v>#N/A</v>
      </c>
    </row>
    <row r="12" spans="1:5">
      <c r="A12" s="114">
        <v>5</v>
      </c>
      <c r="B12" s="110" t="s">
        <v>114</v>
      </c>
      <c r="C12" s="105" t="e">
        <f>VLOOKUP(Table257519913140106110151155170178204[[#This Row],[PEG]],Table1016[#All],2,FALSE)</f>
        <v>#N/A</v>
      </c>
      <c r="D12" s="125"/>
      <c r="E12" s="122" t="e">
        <f>VLOOKUP(Table257519913140106110151155170178204[[#This Row],[PEG]],Table1016[#All],3,FALSE)</f>
        <v>#N/A</v>
      </c>
    </row>
    <row r="13" spans="1:5">
      <c r="A13" s="114">
        <v>6</v>
      </c>
      <c r="B13" s="110" t="s">
        <v>115</v>
      </c>
      <c r="C13" s="105" t="e">
        <f>VLOOKUP(Table257519913140106110151155170178204[[#This Row],[PEG]],Table1016[#All],2,FALSE)</f>
        <v>#N/A</v>
      </c>
      <c r="D13" s="125"/>
      <c r="E13" s="122" t="e">
        <f>VLOOKUP(Table257519913140106110151155170178204[[#This Row],[PEG]],Table1016[#All],3,FALSE)</f>
        <v>#N/A</v>
      </c>
    </row>
    <row r="14" spans="1:5">
      <c r="A14" s="114">
        <v>7</v>
      </c>
      <c r="B14" s="110" t="s">
        <v>114</v>
      </c>
      <c r="C14" s="105" t="e">
        <f>VLOOKUP(Table257519913140106110151155170178204[[#This Row],[PEG]],Table1016[#All],2,FALSE)</f>
        <v>#N/A</v>
      </c>
      <c r="D14" s="125"/>
      <c r="E14" s="122" t="e">
        <f>VLOOKUP(Table257519913140106110151155170178204[[#This Row],[PEG]],Table1016[#All],3,FALSE)</f>
        <v>#N/A</v>
      </c>
    </row>
    <row r="15" spans="1:5">
      <c r="A15" s="114">
        <v>8</v>
      </c>
      <c r="B15" s="110" t="s">
        <v>115</v>
      </c>
      <c r="C15" s="105" t="e">
        <f>VLOOKUP(Table257519913140106110151155170178204[[#This Row],[PEG]],Table1016[#All],2,FALSE)</f>
        <v>#N/A</v>
      </c>
      <c r="D15" s="112"/>
      <c r="E15" s="122" t="e">
        <f>VLOOKUP(Table257519913140106110151155170178204[[#This Row],[PEG]],Table1016[#All],3,FALSE)</f>
        <v>#N/A</v>
      </c>
    </row>
    <row r="16" spans="1:5">
      <c r="A16" s="114">
        <v>9</v>
      </c>
      <c r="B16" s="110" t="s">
        <v>12</v>
      </c>
      <c r="C16" s="105" t="e">
        <f>VLOOKUP(Table257519913140106110151155170178204[[#This Row],[PEG]],Table1016[#All],2,FALSE)</f>
        <v>#N/A</v>
      </c>
      <c r="D16" s="112"/>
      <c r="E16" s="122" t="e">
        <f>VLOOKUP(Table257519913140106110151155170178204[[#This Row],[PEG]],Table1016[#All],3,FALSE)</f>
        <v>#N/A</v>
      </c>
    </row>
    <row r="17" spans="1:5">
      <c r="A17" s="114">
        <v>10</v>
      </c>
      <c r="B17" s="110" t="s">
        <v>12</v>
      </c>
      <c r="C17" s="105" t="e">
        <f>VLOOKUP(Table257519913140106110151155170178204[[#This Row],[PEG]],Table1016[#All],2,FALSE)</f>
        <v>#N/A</v>
      </c>
      <c r="D17" s="113"/>
      <c r="E17" s="122" t="e">
        <f>VLOOKUP(Table257519913140106110151155170178204[[#This Row],[PEG]],Table1016[#All],3,FALSE)</f>
        <v>#N/A</v>
      </c>
    </row>
    <row r="18" spans="1:5">
      <c r="A18" s="114">
        <v>11</v>
      </c>
      <c r="B18" s="110" t="s">
        <v>115</v>
      </c>
      <c r="C18" s="105" t="e">
        <f>VLOOKUP(Table257519913140106110151155170178204[[#This Row],[PEG]],Table1016[#All],2,FALSE)</f>
        <v>#N/A</v>
      </c>
      <c r="D18" s="113"/>
      <c r="E18" s="122" t="e">
        <f>VLOOKUP(Table257519913140106110151155170178204[[#This Row],[PEG]],Table1016[#All],3,FALSE)</f>
        <v>#N/A</v>
      </c>
    </row>
    <row r="19" spans="1:5">
      <c r="A19" s="114">
        <v>12</v>
      </c>
      <c r="B19" s="110" t="s">
        <v>115</v>
      </c>
      <c r="C19" s="105" t="e">
        <f>VLOOKUP(Table257519913140106110151155170178204[[#This Row],[PEG]],Table1016[#All],2,FALSE)</f>
        <v>#N/A</v>
      </c>
      <c r="D19" s="113"/>
      <c r="E19" s="122" t="e">
        <f>VLOOKUP(Table257519913140106110151155170178204[[#This Row],[PEG]],Table1016[#All],3,FALSE)</f>
        <v>#N/A</v>
      </c>
    </row>
    <row r="20" spans="1:5">
      <c r="A20" s="114">
        <v>13</v>
      </c>
      <c r="B20" s="110" t="s">
        <v>114</v>
      </c>
      <c r="C20" s="105" t="e">
        <f>VLOOKUP(Table257519913140106110151155170178204[[#This Row],[PEG]],Table1016[#All],2,FALSE)</f>
        <v>#N/A</v>
      </c>
      <c r="D20" s="113"/>
      <c r="E20" s="122" t="e">
        <f>VLOOKUP(Table257519913140106110151155170178204[[#This Row],[PEG]],Table1016[#All],3,FALSE)</f>
        <v>#N/A</v>
      </c>
    </row>
    <row r="21" spans="1:5">
      <c r="A21" s="114">
        <v>14</v>
      </c>
      <c r="B21" s="110" t="s">
        <v>12</v>
      </c>
      <c r="C21" s="105" t="e">
        <f>VLOOKUP(Table257519913140106110151155170178204[[#This Row],[PEG]],Table1016[#All],2,FALSE)</f>
        <v>#N/A</v>
      </c>
      <c r="D21" s="113"/>
      <c r="E21" s="122" t="e">
        <f>VLOOKUP(Table257519913140106110151155170178204[[#This Row],[PEG]],Table1016[#All],3,FALSE)</f>
        <v>#N/A</v>
      </c>
    </row>
    <row r="22" spans="1:5">
      <c r="A22" s="114">
        <v>15</v>
      </c>
      <c r="B22" s="110" t="s">
        <v>12</v>
      </c>
      <c r="C22" s="105" t="e">
        <f>VLOOKUP(Table257519913140106110151155170178204[[#This Row],[PEG]],Table1016[#All],2,FALSE)</f>
        <v>#N/A</v>
      </c>
      <c r="D22" s="113"/>
      <c r="E22" s="122" t="e">
        <f>VLOOKUP(Table257519913140106110151155170178204[[#This Row],[PEG]],Table1016[#All],3,FALSE)</f>
        <v>#N/A</v>
      </c>
    </row>
    <row r="23" spans="1:5">
      <c r="A23" s="114">
        <v>16</v>
      </c>
      <c r="B23" s="110" t="s">
        <v>115</v>
      </c>
      <c r="C23" s="105" t="e">
        <f>VLOOKUP(Table257519913140106110151155170178204[[#This Row],[PEG]],Table1016[#All],2,FALSE)</f>
        <v>#N/A</v>
      </c>
      <c r="D23" s="113"/>
      <c r="E23" s="122" t="e">
        <f>VLOOKUP(Table257519913140106110151155170178204[[#This Row],[PEG]],Table1016[#All],3,FALSE)</f>
        <v>#N/A</v>
      </c>
    </row>
    <row r="24" spans="1:5">
      <c r="A24" s="114">
        <v>17</v>
      </c>
      <c r="B24" s="110" t="s">
        <v>114</v>
      </c>
      <c r="C24" s="105" t="e">
        <f>VLOOKUP(Table257519913140106110151155170178204[[#This Row],[PEG]],Table1016[#All],2,FALSE)</f>
        <v>#N/A</v>
      </c>
      <c r="D24" s="113"/>
      <c r="E24" s="122" t="e">
        <f>VLOOKUP(Table257519913140106110151155170178204[[#This Row],[PEG]],Table1016[#All],3,FALSE)</f>
        <v>#N/A</v>
      </c>
    </row>
    <row r="25" spans="1:5">
      <c r="A25" s="114">
        <v>18</v>
      </c>
      <c r="B25" s="110" t="s">
        <v>12</v>
      </c>
      <c r="C25" s="105" t="e">
        <f>VLOOKUP(Table257519913140106110151155170178204[[#This Row],[PEG]],Table1016[#All],2,FALSE)</f>
        <v>#N/A</v>
      </c>
      <c r="D25" s="113"/>
      <c r="E25" s="122" t="e">
        <f>VLOOKUP(Table257519913140106110151155170178204[[#This Row],[PEG]],Table1016[#All],3,FALSE)</f>
        <v>#N/A</v>
      </c>
    </row>
    <row r="26" spans="1:5">
      <c r="A26" s="114">
        <v>19</v>
      </c>
      <c r="B26" s="110" t="s">
        <v>12</v>
      </c>
      <c r="C26" s="105" t="e">
        <f>VLOOKUP(Table257519913140106110151155170178204[[#This Row],[PEG]],Table1016[#All],2,FALSE)</f>
        <v>#N/A</v>
      </c>
      <c r="D26" s="113"/>
      <c r="E26" s="122" t="e">
        <f>VLOOKUP(Table257519913140106110151155170178204[[#This Row],[PEG]],Table1016[#All],3,FALSE)</f>
        <v>#N/A</v>
      </c>
    </row>
    <row r="27" spans="1:5">
      <c r="A27" s="114">
        <v>20</v>
      </c>
      <c r="B27" s="110" t="s">
        <v>115</v>
      </c>
      <c r="C27" s="105" t="e">
        <f>VLOOKUP(Table257519913140106110151155170178204[[#This Row],[PEG]],Table1016[#All],2,FALSE)</f>
        <v>#N/A</v>
      </c>
      <c r="D27" s="113"/>
      <c r="E27" s="122" t="e">
        <f>VLOOKUP(Table257519913140106110151155170178204[[#This Row],[PEG]],Table1016[#All],3,FALSE)</f>
        <v>#N/A</v>
      </c>
    </row>
    <row r="28" spans="1:5">
      <c r="A28" s="114">
        <v>21</v>
      </c>
      <c r="B28" s="110" t="s">
        <v>114</v>
      </c>
      <c r="C28" s="105" t="e">
        <f>VLOOKUP(Table257519913140106110151155170178204[[#This Row],[PEG]],Table1016[#All],2,FALSE)</f>
        <v>#N/A</v>
      </c>
      <c r="D28" s="113"/>
      <c r="E28" s="122" t="e">
        <f>VLOOKUP(Table257519913140106110151155170178204[[#This Row],[PEG]],Table1016[#All],3,FALSE)</f>
        <v>#N/A</v>
      </c>
    </row>
    <row r="29" spans="1:5">
      <c r="A29" s="114">
        <v>22</v>
      </c>
      <c r="B29" s="110" t="s">
        <v>12</v>
      </c>
      <c r="C29" s="105" t="e">
        <f>VLOOKUP(Table257519913140106110151155170178204[[#This Row],[PEG]],Table1016[#All],2,FALSE)</f>
        <v>#N/A</v>
      </c>
      <c r="D29" s="113"/>
      <c r="E29" s="122" t="e">
        <f>VLOOKUP(Table257519913140106110151155170178204[[#This Row],[PEG]],Table1016[#All],3,FALSE)</f>
        <v>#N/A</v>
      </c>
    </row>
    <row r="30" spans="1:5">
      <c r="A30" s="114">
        <v>23</v>
      </c>
      <c r="B30" s="110" t="s">
        <v>12</v>
      </c>
      <c r="C30" s="105" t="e">
        <f>VLOOKUP(Table257519913140106110151155170178204[[#This Row],[PEG]],Table1016[#All],2,FALSE)</f>
        <v>#N/A</v>
      </c>
      <c r="D30" s="113"/>
      <c r="E30" s="122" t="e">
        <f>VLOOKUP(Table257519913140106110151155170178204[[#This Row],[PEG]],Table1016[#All],3,FALSE)</f>
        <v>#N/A</v>
      </c>
    </row>
    <row r="31" spans="1:5">
      <c r="A31" s="114">
        <v>24</v>
      </c>
      <c r="B31" s="110" t="s">
        <v>115</v>
      </c>
      <c r="C31" s="105" t="e">
        <f>VLOOKUP(Table257519913140106110151155170178204[[#This Row],[PEG]],Table1016[#All],2,FALSE)</f>
        <v>#N/A</v>
      </c>
      <c r="D31" s="113"/>
      <c r="E31" s="122" t="e">
        <f>VLOOKUP(Table257519913140106110151155170178204[[#This Row],[PEG]],Table1016[#All],3,FALSE)</f>
        <v>#N/A</v>
      </c>
    </row>
    <row r="32" spans="1:5">
      <c r="A32" s="114">
        <v>25</v>
      </c>
      <c r="B32" s="110" t="s">
        <v>115</v>
      </c>
      <c r="C32" s="105" t="e">
        <f>VLOOKUP(Table257519913140106110151155170178204[[#This Row],[PEG]],Table1016[#All],2,FALSE)</f>
        <v>#N/A</v>
      </c>
      <c r="D32" s="113"/>
      <c r="E32" s="122" t="e">
        <f>VLOOKUP(Table257519913140106110151155170178204[[#This Row],[PEG]],Table1016[#All],3,FALSE)</f>
        <v>#N/A</v>
      </c>
    </row>
    <row r="33" spans="1:5">
      <c r="A33" s="114">
        <v>26</v>
      </c>
      <c r="B33" s="110" t="s">
        <v>124</v>
      </c>
      <c r="C33" s="105" t="e">
        <f>VLOOKUP(Table257519913140106110151155170178204[[#This Row],[PEG]],Table1016[#All],2,FALSE)</f>
        <v>#N/A</v>
      </c>
      <c r="D33" s="113"/>
      <c r="E33" s="122" t="e">
        <f>VLOOKUP(Table257519913140106110151155170178204[[#This Row],[PEG]],Table1016[#All],3,FALSE)</f>
        <v>#N/A</v>
      </c>
    </row>
    <row r="34" spans="1:5">
      <c r="A34" s="114">
        <v>27</v>
      </c>
      <c r="B34" s="110" t="s">
        <v>115</v>
      </c>
      <c r="C34" s="105" t="e">
        <f>VLOOKUP(Table257519913140106110151155170178204[[#This Row],[PEG]],Table1016[#All],2,FALSE)</f>
        <v>#N/A</v>
      </c>
      <c r="D34" s="113"/>
      <c r="E34" s="122" t="e">
        <f>VLOOKUP(Table257519913140106110151155170178204[[#This Row],[PEG]],Table1016[#All],3,FALSE)</f>
        <v>#N/A</v>
      </c>
    </row>
    <row r="35" spans="1:5">
      <c r="A35" s="114">
        <v>28</v>
      </c>
      <c r="B35" s="110" t="s">
        <v>124</v>
      </c>
      <c r="C35" s="105" t="e">
        <f>VLOOKUP(Table257519913140106110151155170178204[[#This Row],[PEG]],Table1016[#All],2,FALSE)</f>
        <v>#N/A</v>
      </c>
      <c r="D35" s="113"/>
      <c r="E35" s="122" t="e">
        <f>VLOOKUP(Table257519913140106110151155170178204[[#This Row],[PEG]],Table1016[#All],3,FALSE)</f>
        <v>#N/A</v>
      </c>
    </row>
    <row r="36" spans="1:5">
      <c r="A36" s="114">
        <v>29</v>
      </c>
      <c r="B36" s="110" t="s">
        <v>115</v>
      </c>
      <c r="C36" s="105" t="e">
        <f>VLOOKUP(Table257519913140106110151155170178204[[#This Row],[PEG]],Table1016[#All],2,FALSE)</f>
        <v>#N/A</v>
      </c>
      <c r="D36" s="113"/>
      <c r="E36" s="122" t="e">
        <f>VLOOKUP(Table257519913140106110151155170178204[[#This Row],[PEG]],Table1016[#All],3,FALSE)</f>
        <v>#N/A</v>
      </c>
    </row>
    <row r="37" spans="1:5">
      <c r="A37" s="114">
        <v>30</v>
      </c>
      <c r="B37" s="110" t="s">
        <v>12</v>
      </c>
      <c r="C37" s="105" t="e">
        <f>VLOOKUP(Table257519913140106110151155170178204[[#This Row],[PEG]],Table1016[#All],2,FALSE)</f>
        <v>#N/A</v>
      </c>
      <c r="D37" s="113"/>
      <c r="E37" s="122" t="e">
        <f>VLOOKUP(Table257519913140106110151155170178204[[#This Row],[PEG]],Table1016[#All],3,FALSE)</f>
        <v>#N/A</v>
      </c>
    </row>
    <row r="38" spans="1:5">
      <c r="A38" s="114">
        <v>31</v>
      </c>
      <c r="B38" s="110" t="s">
        <v>12</v>
      </c>
      <c r="C38" s="105" t="e">
        <f>VLOOKUP(Table257519913140106110151155170178204[[#This Row],[PEG]],Table1016[#All],2,FALSE)</f>
        <v>#N/A</v>
      </c>
      <c r="D38" s="113"/>
      <c r="E38" s="122" t="e">
        <f>VLOOKUP(Table257519913140106110151155170178204[[#This Row],[PEG]],Table1016[#All],3,FALSE)</f>
        <v>#N/A</v>
      </c>
    </row>
    <row r="39" spans="1:5">
      <c r="A39" s="114">
        <v>32</v>
      </c>
      <c r="B39" s="110" t="s">
        <v>12</v>
      </c>
      <c r="C39" s="105" t="e">
        <f>VLOOKUP(Table257519913140106110151155170178204[[#This Row],[PEG]],Table1016[#All],2,FALSE)</f>
        <v>#N/A</v>
      </c>
      <c r="D39" s="113"/>
      <c r="E39" s="122" t="e">
        <f>VLOOKUP(Table257519913140106110151155170178204[[#This Row],[PEG]],Table1016[#All],3,FALSE)</f>
        <v>#N/A</v>
      </c>
    </row>
    <row r="40" spans="1:5">
      <c r="A40" s="114">
        <v>33</v>
      </c>
      <c r="B40" s="110" t="s">
        <v>12</v>
      </c>
      <c r="C40" s="105" t="e">
        <f>VLOOKUP(Table257519913140106110151155170178204[[#This Row],[PEG]],Table1016[#All],2,FALSE)</f>
        <v>#N/A</v>
      </c>
      <c r="D40" s="113"/>
      <c r="E40" s="122" t="e">
        <f>VLOOKUP(Table257519913140106110151155170178204[[#This Row],[PEG]],Table1016[#All],3,FALSE)</f>
        <v>#N/A</v>
      </c>
    </row>
    <row r="41" spans="1:5">
      <c r="A41" s="114">
        <v>34</v>
      </c>
      <c r="B41" s="110" t="s">
        <v>115</v>
      </c>
      <c r="C41" s="105" t="e">
        <f>VLOOKUP(Table257519913140106110151155170178204[[#This Row],[PEG]],Table1016[#All],2,FALSE)</f>
        <v>#N/A</v>
      </c>
      <c r="D41" s="113"/>
      <c r="E41" s="122" t="e">
        <f>VLOOKUP(Table257519913140106110151155170178204[[#This Row],[PEG]],Table1016[#All],3,FALSE)</f>
        <v>#N/A</v>
      </c>
    </row>
    <row r="42" spans="1:5">
      <c r="A42" s="114">
        <v>35</v>
      </c>
      <c r="B42" s="110" t="s">
        <v>12</v>
      </c>
      <c r="C42" s="105" t="e">
        <f>VLOOKUP(Table257519913140106110151155170178204[[#This Row],[PEG]],Table1016[#All],2,FALSE)</f>
        <v>#N/A</v>
      </c>
      <c r="D42" s="111"/>
      <c r="E42" s="122" t="e">
        <f>VLOOKUP(Table257519913140106110151155170178204[[#This Row],[PEG]],Table1016[#All],3,FALSE)</f>
        <v>#N/A</v>
      </c>
    </row>
    <row r="43" spans="1:5">
      <c r="A43" s="114">
        <v>36</v>
      </c>
      <c r="B43" s="110" t="s">
        <v>115</v>
      </c>
      <c r="C43" s="105" t="e">
        <f>VLOOKUP(Table257519913140106110151155170178204[[#This Row],[PEG]],Table1016[#All],2,FALSE)</f>
        <v>#N/A</v>
      </c>
      <c r="D43" s="111"/>
      <c r="E43" s="122" t="e">
        <f>VLOOKUP(Table257519913140106110151155170178204[[#This Row],[PEG]],Table1016[#All],3,FALSE)</f>
        <v>#N/A</v>
      </c>
    </row>
    <row r="44" spans="1:5">
      <c r="A44" s="114">
        <v>37</v>
      </c>
      <c r="B44" s="110" t="s">
        <v>13</v>
      </c>
      <c r="C44" s="17" t="s">
        <v>13</v>
      </c>
      <c r="D44" s="111"/>
      <c r="E44" s="31"/>
    </row>
  </sheetData>
  <mergeCells count="1">
    <mergeCell ref="A1:B1"/>
  </mergeCells>
  <conditionalFormatting sqref="B8:B18">
    <cfRule type="containsText" dxfId="1305" priority="1" operator="containsText" text="Hear">
      <formula>NOT(ISERROR(SEARCH("Hear",B8)))</formula>
    </cfRule>
  </conditionalFormatting>
  <conditionalFormatting sqref="B30">
    <cfRule type="containsText" dxfId="1304" priority="4" operator="containsText" text="Hear">
      <formula>NOT(ISERROR(SEARCH("Hear",B30)))</formula>
    </cfRule>
  </conditionalFormatting>
  <conditionalFormatting sqref="B43:B44">
    <cfRule type="containsText" dxfId="1303" priority="8" operator="containsText" text="Hear">
      <formula>NOT(ISERROR(SEARCH("Hear",B43)))</formula>
    </cfRule>
  </conditionalFormatting>
  <conditionalFormatting sqref="E44">
    <cfRule type="containsText" dxfId="1302" priority="6" operator="containsText" text="WEB SERVICE">
      <formula>NOT(ISERROR(SEARCH("WEB SERVICE",E44)))</formula>
    </cfRule>
    <cfRule type="containsText" dxfId="1301" priority="7" operator="containsText" text="DB">
      <formula>NOT(ISERROR(SEARCH("DB",E44)))</formula>
    </cfRule>
  </conditionalFormatting>
  <conditionalFormatting sqref="C44">
    <cfRule type="expression" dxfId="1300" priority="9">
      <formula>$B44="HANGUP"</formula>
    </cfRule>
    <cfRule type="expression" dxfId="1299" priority="9">
      <formula>$B44="Dial"</formula>
    </cfRule>
  </conditionalFormatting>
  <conditionalFormatting sqref="C44">
    <cfRule type="expression" dxfId="1298" priority="3">
      <formula>$B44="Speak"</formula>
    </cfRule>
  </conditionalFormatting>
  <conditionalFormatting sqref="B36:B38 B40:B41">
    <cfRule type="containsText" dxfId="1297" priority="2" operator="containsText" text="Hear">
      <formula>NOT(ISERROR(SEARCH("Hear",B36)))</formula>
    </cfRule>
  </conditionalFormatting>
  <conditionalFormatting sqref="B19:B29 B31:B35 B42">
    <cfRule type="containsText" dxfId="1296" priority="5" operator="containsText" text="Hear">
      <formula>NOT(ISERROR(SEARCH("Hear",B19)))</formula>
    </cfRule>
  </conditionalFormatting>
  <hyperlinks>
    <hyperlink ref="A1" location="'Test Case Overview'!A1" display="Return to Test Case Overview" xr:uid="{00000000-0004-0000-94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0" id="{D4015DFB-1E38-45EA-B2CB-DD9A64A48F13}">
            <xm:f>'TC1'!$B8="Dial"</xm:f>
            <x14:dxf>
              <font>
                <b/>
                <i val="0"/>
                <color rgb="FFFF0000"/>
              </font>
            </x14:dxf>
          </x14:cfRule>
          <x14:cfRule type="expression" priority="10" id="{D8A2E6CC-E26B-4CB8-8F22-C1A63B18DC81}">
            <xm:f>'TC1'!$B8="HANGUP"</xm:f>
            <x14:dxf>
              <font>
                <b/>
                <i val="0"/>
              </font>
            </x14:dxf>
          </x14:cfRule>
          <xm:sqref>C8</xm:sqref>
        </x14:conditionalFormatting>
        <x14:conditionalFormatting xmlns:xm="http://schemas.microsoft.com/office/excel/2006/main">
          <x14:cfRule type="expression" priority="11" id="{1616912D-2816-4F80-A2C7-8521E2990E62}">
            <xm:f>'TC1'!$B8="Speak"</xm:f>
            <x14:dxf>
              <font>
                <b/>
                <i val="0"/>
                <color rgb="FFFF0000"/>
              </font>
            </x14:dxf>
          </x14:cfRule>
          <xm:sqref>C8</xm:sqref>
        </x14:conditionalFormatting>
        <x14:conditionalFormatting xmlns:xm="http://schemas.microsoft.com/office/excel/2006/main">
          <x14:cfRule type="containsText" priority="12" operator="containsText" text="DB" id="{3A2EB06B-6DD6-4805-902D-89864B9B18F1}">
            <xm:f>NOT(ISERROR(SEARCH("DB",'TC1'!E10)))</xm:f>
            <x14:dxf>
              <font>
                <color rgb="FF006100"/>
              </font>
              <fill>
                <patternFill>
                  <bgColor rgb="FFC6EFCE"/>
                </patternFill>
              </fill>
            </x14:dxf>
          </x14:cfRule>
          <x14:cfRule type="containsText" priority="12" operator="containsText" text="WEB SERVICE" id="{C97288F7-0093-4D2E-819C-5E4742241D9E}">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containsText" priority="14" operator="containsText" text="Hear" id="{F1DF9A8B-B33D-4187-B0B5-3DD7BA28280C}">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226" id="{D4015DFB-1E38-45EA-B2CB-DD9A64A48F13}">
            <xm:f>'TC1'!$B14="Dial"</xm:f>
            <x14:dxf>
              <font>
                <b/>
                <i val="0"/>
                <color rgb="FFFF0000"/>
              </font>
            </x14:dxf>
          </x14:cfRule>
          <x14:cfRule type="expression" priority="3227" id="{D8A2E6CC-E26B-4CB8-8F22-C1A63B18DC81}">
            <xm:f>'TC1'!$B14="HANGUP"</xm:f>
            <x14:dxf>
              <font>
                <b/>
                <i val="0"/>
              </font>
            </x14:dxf>
          </x14:cfRule>
          <xm:sqref>C34:C43</xm:sqref>
        </x14:conditionalFormatting>
        <x14:conditionalFormatting xmlns:xm="http://schemas.microsoft.com/office/excel/2006/main">
          <x14:cfRule type="expression" priority="3228" id="{D4015DFB-1E38-45EA-B2CB-DD9A64A48F13}">
            <xm:f>'TC1'!#REF!="Dial"</xm:f>
            <x14:dxf>
              <font>
                <b/>
                <i val="0"/>
                <color rgb="FFFF0000"/>
              </font>
            </x14:dxf>
          </x14:cfRule>
          <x14:cfRule type="expression" priority="3229" id="{D8A2E6CC-E26B-4CB8-8F22-C1A63B18DC81}">
            <xm:f>'TC1'!#REF!="HANGUP"</xm:f>
            <x14:dxf>
              <font>
                <b/>
                <i val="0"/>
              </font>
            </x14:dxf>
          </x14:cfRule>
          <xm:sqref>C13:C33</xm:sqref>
        </x14:conditionalFormatting>
        <x14:conditionalFormatting xmlns:xm="http://schemas.microsoft.com/office/excel/2006/main">
          <x14:cfRule type="expression" priority="3233" id="{1616912D-2816-4F80-A2C7-8521E2990E62}">
            <xm:f>'TC1'!$B14="Speak"</xm:f>
            <x14:dxf>
              <font>
                <b/>
                <i val="0"/>
                <color rgb="FFFF0000"/>
              </font>
            </x14:dxf>
          </x14:cfRule>
          <xm:sqref>C34:C43</xm:sqref>
        </x14:conditionalFormatting>
        <x14:conditionalFormatting xmlns:xm="http://schemas.microsoft.com/office/excel/2006/main">
          <x14:cfRule type="expression" priority="3234" id="{1616912D-2816-4F80-A2C7-8521E2990E62}">
            <xm:f>'TC1'!#REF!="Speak"</xm:f>
            <x14:dxf>
              <font>
                <b/>
                <i val="0"/>
                <color rgb="FFFF0000"/>
              </font>
            </x14:dxf>
          </x14:cfRule>
          <xm:sqref>C13:C33</xm:sqref>
        </x14:conditionalFormatting>
        <x14:conditionalFormatting xmlns:xm="http://schemas.microsoft.com/office/excel/2006/main">
          <x14:cfRule type="containsText" priority="3238" operator="containsText" text="DB" id="{3A2EB06B-6DD6-4805-902D-89864B9B18F1}">
            <xm:f>NOT(ISERROR(SEARCH("DB",'TC1'!E14)))</xm:f>
            <x14:dxf>
              <font>
                <color rgb="FF006100"/>
              </font>
              <fill>
                <patternFill>
                  <bgColor rgb="FFC6EFCE"/>
                </patternFill>
              </fill>
            </x14:dxf>
          </x14:cfRule>
          <x14:cfRule type="containsText" priority="3239" operator="containsText" text="WEB SERVICE" id="{C97288F7-0093-4D2E-819C-5E4742241D9E}">
            <xm:f>NOT(ISERROR(SEARCH("WEB SERVICE",'TC1'!E14)))</xm:f>
            <x14:dxf>
              <font>
                <color rgb="FF9C0006"/>
              </font>
              <fill>
                <patternFill>
                  <bgColor rgb="FFFFC7CE"/>
                </patternFill>
              </fill>
            </x14:dxf>
          </x14:cfRule>
          <xm:sqref>E34:E43</xm:sqref>
        </x14:conditionalFormatting>
        <x14:conditionalFormatting xmlns:xm="http://schemas.microsoft.com/office/excel/2006/main">
          <x14:cfRule type="containsText" priority="3240" operator="containsText" text="DB" id="{3A2EB06B-6DD6-4805-902D-89864B9B18F1}">
            <xm:f>NOT(ISERROR(SEARCH("DB",'TC1'!#REF!)))</xm:f>
            <x14:dxf>
              <font>
                <color rgb="FF006100"/>
              </font>
              <fill>
                <patternFill>
                  <bgColor rgb="FFC6EFCE"/>
                </patternFill>
              </fill>
            </x14:dxf>
          </x14:cfRule>
          <x14:cfRule type="containsText" priority="3241" operator="containsText" text="WEB SERVICE" id="{C97288F7-0093-4D2E-819C-5E4742241D9E}">
            <xm:f>NOT(ISERROR(SEARCH("WEB SERVICE",'TC1'!#REF!)))</xm:f>
            <x14:dxf>
              <font>
                <color rgb="FF9C0006"/>
              </font>
              <fill>
                <patternFill>
                  <bgColor rgb="FFFFC7CE"/>
                </patternFill>
              </fill>
            </x14:dxf>
          </x14:cfRule>
          <xm:sqref>E13:E33</xm:sqref>
        </x14:conditionalFormatting>
        <x14:conditionalFormatting xmlns:xm="http://schemas.microsoft.com/office/excel/2006/main">
          <x14:cfRule type="expression" priority="4542" id="{D4015DFB-1E38-45EA-B2CB-DD9A64A48F13}">
            <xm:f>'TC1'!$B10="Dial"</xm:f>
            <x14:dxf>
              <font>
                <b/>
                <i val="0"/>
                <color rgb="FFFF0000"/>
              </font>
            </x14:dxf>
          </x14:cfRule>
          <x14:cfRule type="expression" priority="4543" id="{D8A2E6CC-E26B-4CB8-8F22-C1A63B18DC81}">
            <xm:f>'TC1'!$B10="HANGUP"</xm:f>
            <x14:dxf>
              <font>
                <b/>
                <i val="0"/>
              </font>
            </x14:dxf>
          </x14:cfRule>
          <xm:sqref>C9:C12</xm:sqref>
        </x14:conditionalFormatting>
        <x14:conditionalFormatting xmlns:xm="http://schemas.microsoft.com/office/excel/2006/main">
          <x14:cfRule type="expression" priority="4545" id="{1616912D-2816-4F80-A2C7-8521E2990E62}">
            <xm:f>'TC1'!$B10="Speak"</xm:f>
            <x14:dxf>
              <font>
                <b/>
                <i val="0"/>
                <color rgb="FFFF0000"/>
              </font>
            </x14:dxf>
          </x14:cfRule>
          <xm:sqref>C9:C12</xm:sqref>
        </x14:conditionalFormatting>
        <x14:conditionalFormatting xmlns:xm="http://schemas.microsoft.com/office/excel/2006/main">
          <x14:cfRule type="containsText" priority="6498" operator="containsText" text="Hear" id="{5E1BC88B-09B7-497F-963E-DC7BD01F7392}">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E41"/>
  <sheetViews>
    <sheetView zoomScaleNormal="100" workbookViewId="0">
      <selection activeCell="C4" sqref="C4"/>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TC14</v>
      </c>
    </row>
    <row r="3" spans="1:5">
      <c r="A3" s="100" t="s">
        <v>19</v>
      </c>
      <c r="B3" s="108">
        <f ca="1">VLOOKUP(B2,Table1[#All],2,FALSE)</f>
        <v>0</v>
      </c>
    </row>
    <row r="4" spans="1:5" ht="45">
      <c r="A4" s="109" t="s">
        <v>20</v>
      </c>
      <c r="B4" s="95" t="str">
        <f ca="1">VLOOKUP(B2,Table1[#All],4,FALSE)</f>
        <v>svcArea=titleSvcs, serviceType=checkStatus, Completed=Yes,&gt; 15 days ago,  OFS02 change completed</v>
      </c>
    </row>
    <row r="5" spans="1:5" ht="30">
      <c r="A5" s="100" t="s">
        <v>6</v>
      </c>
      <c r="B5" s="89" t="str">
        <f ca="1">VLOOKUP(B2,Table1[#All],3,FALSE)</f>
        <v>CallStart Main Menu /Title /CheckStatus/ID Auth=True/ No Letter Xfer</v>
      </c>
    </row>
    <row r="7" spans="1:5" ht="15.75">
      <c r="A7" s="96" t="s">
        <v>7</v>
      </c>
      <c r="B7" s="97" t="s">
        <v>8</v>
      </c>
      <c r="C7" s="98" t="s">
        <v>9</v>
      </c>
      <c r="D7" s="98" t="s">
        <v>14</v>
      </c>
      <c r="E7" s="99" t="s">
        <v>10</v>
      </c>
    </row>
    <row r="8" spans="1:5">
      <c r="A8" s="114">
        <v>1</v>
      </c>
      <c r="B8" s="110" t="s">
        <v>114</v>
      </c>
      <c r="C8" s="124" t="s">
        <v>125</v>
      </c>
      <c r="D8" s="125"/>
      <c r="E8" s="122" t="s">
        <v>11</v>
      </c>
    </row>
    <row r="9" spans="1:5">
      <c r="A9" s="114">
        <v>2</v>
      </c>
      <c r="B9" s="110" t="s">
        <v>115</v>
      </c>
      <c r="C9" s="105" t="str">
        <f>VLOOKUP(Table25755252691024253334[[#This Row],[PEG]],Table1016[#All],2,FALSE)</f>
        <v>CallID.wav Call ID &lt;CallID&gt;</v>
      </c>
      <c r="D9" s="149" t="s">
        <v>477</v>
      </c>
      <c r="E9" s="122" t="str">
        <f>VLOOKUP(Table2575525269102425333442[[#This Row],[PEG]],Table1016[#All],3,FALSE)</f>
        <v>TEST</v>
      </c>
    </row>
    <row r="10" spans="1:5" ht="30">
      <c r="A10" s="114">
        <v>3</v>
      </c>
      <c r="B10" s="110" t="s">
        <v>115</v>
      </c>
      <c r="C10" s="105" t="str">
        <f>VLOOKUP(Table25755252691024253334[[#This Row],[PEG]],Table1016[#All],2,FALSE)</f>
        <v>0100.wav Thank you for calling Shell vacations Club, we are glad you called. Please have your account number available for faster service. [To continue in Spanish, press 9]</v>
      </c>
      <c r="D10" s="149">
        <v>100</v>
      </c>
      <c r="E10" s="122" t="str">
        <f>VLOOKUP(Table2575525269102425333442[[#This Row],[PEG]],Table1016[#All],3,FALSE)</f>
        <v>PLAY PROMPT</v>
      </c>
    </row>
    <row r="11" spans="1:5" ht="30">
      <c r="A11" s="114">
        <v>4</v>
      </c>
      <c r="B11" s="110" t="s">
        <v>115</v>
      </c>
      <c r="C11" s="105" t="str">
        <f>VLOOKUP(Table25755252691024253334[[#This Row],[PEG]],Table1016[#All],2,FALSE)</f>
        <v>0110-1.wav Which would you like? You can say... reservations, payments &amp; statements, title &amp; ownership changes, or more options.</v>
      </c>
      <c r="D11" s="149">
        <v>110</v>
      </c>
      <c r="E11" s="122" t="str">
        <f>VLOOKUP(Table2575525269102425333442[[#This Row],[PEG]],Table1016[#All],3,FALSE)</f>
        <v>MENU PROMPT</v>
      </c>
    </row>
    <row r="12" spans="1:5">
      <c r="A12" s="114">
        <v>5</v>
      </c>
      <c r="B12" s="110" t="s">
        <v>124</v>
      </c>
      <c r="C12" s="105" t="s">
        <v>474</v>
      </c>
      <c r="D12" s="149"/>
      <c r="E12" s="122" t="e">
        <f>VLOOKUP(Table2575525269102425333442[[#This Row],[PEG]],Table1016[#All],3,FALSE)</f>
        <v>#N/A</v>
      </c>
    </row>
    <row r="13" spans="1:5" ht="30">
      <c r="A13" s="114">
        <v>6</v>
      </c>
      <c r="B13" s="110" t="s">
        <v>115</v>
      </c>
      <c r="C13" s="105" t="str">
        <f>VLOOKUP(Table25755252691024253334[[#This Row],[PEG]],Table1016[#All],2,FALSE)</f>
        <v>0300-1.wav You can say ownership changes, check status, make a payment, or help me with something else. Which would you like?</v>
      </c>
      <c r="D13" s="149">
        <v>300</v>
      </c>
      <c r="E13" s="122" t="str">
        <f>VLOOKUP(Table2575525269102425333442[[#This Row],[PEG]],Table1016[#All],3,FALSE)</f>
        <v>MENU PROMPT</v>
      </c>
    </row>
    <row r="14" spans="1:5">
      <c r="A14" s="114">
        <v>7</v>
      </c>
      <c r="B14" s="110" t="s">
        <v>114</v>
      </c>
      <c r="C14" s="105" t="s">
        <v>495</v>
      </c>
      <c r="D14" s="125"/>
      <c r="E14" s="122" t="e">
        <f>VLOOKUP(Table2575525269102425333442[[#This Row],[PEG]],Table1016[#All],3,FALSE)</f>
        <v>#N/A</v>
      </c>
    </row>
    <row r="15" spans="1:5">
      <c r="A15" s="114">
        <v>8</v>
      </c>
      <c r="B15" s="110" t="s">
        <v>115</v>
      </c>
      <c r="C15" s="105" t="str">
        <f>VLOOKUP(Table25755252691024253334[[#This Row],[PEG]],Table1016[#All],2,FALSE)</f>
        <v>0200-1.wav To get started, what is your account number?</v>
      </c>
      <c r="D15" s="112">
        <v>200</v>
      </c>
      <c r="E15" s="122" t="str">
        <f>VLOOKUP(Table2575525269102425333442[[#This Row],[PEG]],Table1016[#All],3,FALSE)</f>
        <v>MENU PROMPT</v>
      </c>
    </row>
    <row r="16" spans="1:5">
      <c r="A16" s="114">
        <v>9</v>
      </c>
      <c r="B16" s="110" t="s">
        <v>114</v>
      </c>
      <c r="C16" s="105" t="s">
        <v>483</v>
      </c>
      <c r="D16" s="112"/>
      <c r="E16" s="122" t="e">
        <f>VLOOKUP(Table2575525269102425333442[[#This Row],[PEG]],Table1016[#All],3,FALSE)</f>
        <v>#N/A</v>
      </c>
    </row>
    <row r="17" spans="1:5">
      <c r="A17" s="114">
        <v>10</v>
      </c>
      <c r="B17" s="110" t="s">
        <v>115</v>
      </c>
      <c r="C17" s="127" t="str">
        <f>VLOOKUP(Table25755252691024253334[[#This Row],[PEG]],Table1016[#All],2,FALSE)</f>
        <v>0210-1.wav And the date of birth for the primary owner?</v>
      </c>
      <c r="D17" s="113">
        <v>210</v>
      </c>
      <c r="E17" s="122" t="str">
        <f>VLOOKUP(Table2575525269102425333442[[#This Row],[PEG]],Table1016[#All],3,FALSE)</f>
        <v>MENU PROMPT</v>
      </c>
    </row>
    <row r="18" spans="1:5">
      <c r="A18" s="114">
        <v>11</v>
      </c>
      <c r="B18" s="110" t="s">
        <v>124</v>
      </c>
      <c r="C18" s="124" t="s">
        <v>512</v>
      </c>
      <c r="D18" s="113"/>
      <c r="E18" s="122" t="e">
        <f>VLOOKUP(Table2575525269102425333442[[#This Row],[PEG]],Table1016[#All],3,FALSE)</f>
        <v>#N/A</v>
      </c>
    </row>
    <row r="19" spans="1:5" ht="30">
      <c r="A19" s="114">
        <v>12</v>
      </c>
      <c r="B19" s="110" t="s">
        <v>115</v>
      </c>
      <c r="C19" s="127" t="str">
        <f>VLOOKUP(Table25755252691024253334[[#This Row],[PEG]],Table1016[#All],2,FALSE)</f>
        <v>0310-1.wav Your request to transfer ownership was processed on &lt;date&gt;. Would you like me to send you a copy of the confirmation letter? &lt;pause&gt; If you would like to speak with someone, just say "representative."</v>
      </c>
      <c r="D19" s="113">
        <v>310</v>
      </c>
      <c r="E19" s="122" t="str">
        <f>VLOOKUP(Table2575525269102425333442[[#This Row],[PEG]],Table1016[#All],3,FALSE)</f>
        <v>PLAY PROMPT</v>
      </c>
    </row>
    <row r="20" spans="1:5">
      <c r="A20" s="114">
        <v>13</v>
      </c>
      <c r="B20" s="110" t="s">
        <v>124</v>
      </c>
      <c r="C20" s="105" t="s">
        <v>496</v>
      </c>
      <c r="D20" s="113"/>
      <c r="E20" s="122" t="e">
        <f>VLOOKUP(Table2575525269102425333442[[#This Row],[PEG]],Table1016[#All],3,FALSE)</f>
        <v>#N/A</v>
      </c>
    </row>
    <row r="21" spans="1:5">
      <c r="A21" s="114">
        <v>14</v>
      </c>
      <c r="B21" s="110" t="s">
        <v>115</v>
      </c>
      <c r="C21" s="105" t="str">
        <f>VLOOKUP(Table25755252691024253334[[#This Row],[PEG]],Table1016[#All],2,FALSE)</f>
        <v>0900.wav Please hold, while I connect you to a customer service representative.</v>
      </c>
      <c r="D21" s="113">
        <v>900</v>
      </c>
      <c r="E21" s="122" t="str">
        <f>VLOOKUP(Table2575525269102425333442[[#This Row],[PEG]],Table1016[#All],3,FALSE)</f>
        <v>PLAY PROMPT</v>
      </c>
    </row>
    <row r="22" spans="1:5" s="93" customFormat="1">
      <c r="A22" s="114">
        <v>15</v>
      </c>
      <c r="B22" s="110" t="s">
        <v>115</v>
      </c>
      <c r="C22" s="127" t="str">
        <f>VLOOKUP(Table25755252691024253334[[#This Row],[PEG]],Table1016[#All],2,FALSE)</f>
        <v>XferNbr.wav Transfer Number &lt;TransferNbr&gt;</v>
      </c>
      <c r="D22" s="113" t="s">
        <v>480</v>
      </c>
      <c r="E22" s="122"/>
    </row>
    <row r="23" spans="1:5">
      <c r="A23" s="114">
        <v>16</v>
      </c>
      <c r="B23" s="110" t="s">
        <v>13</v>
      </c>
      <c r="C23" s="105" t="s">
        <v>13</v>
      </c>
      <c r="D23" s="111"/>
      <c r="E23" s="31"/>
    </row>
    <row r="24" spans="1:5">
      <c r="C24" s="25"/>
      <c r="D24" s="107" t="s">
        <v>0</v>
      </c>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5"/>
    </row>
    <row r="39" spans="3:3">
      <c r="C39" s="26"/>
    </row>
    <row r="40" spans="3:3">
      <c r="C40" s="26"/>
    </row>
    <row r="41" spans="3:3">
      <c r="C41" s="26"/>
    </row>
  </sheetData>
  <mergeCells count="1">
    <mergeCell ref="A1:B1"/>
  </mergeCells>
  <conditionalFormatting sqref="E23">
    <cfRule type="containsText" dxfId="6321" priority="55" operator="containsText" text="WEB SERVICE">
      <formula>NOT(ISERROR(SEARCH("WEB SERVICE",E23)))</formula>
    </cfRule>
    <cfRule type="containsText" dxfId="6320" priority="56" operator="containsText" text="DB">
      <formula>NOT(ISERROR(SEARCH("DB",E23)))</formula>
    </cfRule>
  </conditionalFormatting>
  <conditionalFormatting sqref="C24:C9980">
    <cfRule type="expression" dxfId="6319" priority="58">
      <formula>$B24="Dial"</formula>
    </cfRule>
    <cfRule type="expression" dxfId="6318" priority="60">
      <formula>$B24="HANGUP"</formula>
    </cfRule>
  </conditionalFormatting>
  <conditionalFormatting sqref="C8">
    <cfRule type="expression" dxfId="6317" priority="27">
      <formula>$B8="Dial"</formula>
    </cfRule>
    <cfRule type="expression" dxfId="6316" priority="28">
      <formula>$B8="HANGUP"</formula>
    </cfRule>
  </conditionalFormatting>
  <conditionalFormatting sqref="B8:B23">
    <cfRule type="containsText" dxfId="6315" priority="31" operator="containsText" text="Hear">
      <formula>NOT(ISERROR(SEARCH("Hear",B8)))</formula>
    </cfRule>
  </conditionalFormatting>
  <conditionalFormatting sqref="C23 C12 C20 C14 C16">
    <cfRule type="expression" dxfId="6314" priority="32">
      <formula>$B12="Dial"</formula>
    </cfRule>
    <cfRule type="expression" dxfId="6313" priority="34">
      <formula>$B12="HANGUP"</formula>
    </cfRule>
  </conditionalFormatting>
  <conditionalFormatting sqref="C23 C12 C20 C14 C16">
    <cfRule type="expression" dxfId="6312" priority="33">
      <formula>$B12="Speak"</formula>
    </cfRule>
  </conditionalFormatting>
  <conditionalFormatting sqref="C9">
    <cfRule type="expression" dxfId="6311" priority="24">
      <formula>$B9="Dial"</formula>
    </cfRule>
    <cfRule type="expression" dxfId="6310" priority="26">
      <formula>$B9="HANGUP"</formula>
    </cfRule>
  </conditionalFormatting>
  <conditionalFormatting sqref="C9">
    <cfRule type="expression" dxfId="6309" priority="25">
      <formula>$B9="Speak"</formula>
    </cfRule>
  </conditionalFormatting>
  <conditionalFormatting sqref="C10">
    <cfRule type="expression" dxfId="6308" priority="21">
      <formula>$B10="Dial"</formula>
    </cfRule>
    <cfRule type="expression" dxfId="6307" priority="23">
      <formula>$B10="HANGUP"</formula>
    </cfRule>
  </conditionalFormatting>
  <conditionalFormatting sqref="C10">
    <cfRule type="expression" dxfId="6306" priority="22">
      <formula>$B10="Speak"</formula>
    </cfRule>
  </conditionalFormatting>
  <conditionalFormatting sqref="C11">
    <cfRule type="expression" dxfId="6305" priority="18">
      <formula>$B11="Dial"</formula>
    </cfRule>
    <cfRule type="expression" dxfId="6304" priority="20">
      <formula>$B11="HANGUP"</formula>
    </cfRule>
  </conditionalFormatting>
  <conditionalFormatting sqref="C11">
    <cfRule type="expression" dxfId="6303" priority="19">
      <formula>$B11="Speak"</formula>
    </cfRule>
  </conditionalFormatting>
  <conditionalFormatting sqref="C13">
    <cfRule type="expression" dxfId="6302" priority="15">
      <formula>$B13="Dial"</formula>
    </cfRule>
    <cfRule type="expression" dxfId="6301" priority="17">
      <formula>$B13="HANGUP"</formula>
    </cfRule>
  </conditionalFormatting>
  <conditionalFormatting sqref="C13">
    <cfRule type="expression" dxfId="6300" priority="16">
      <formula>$B13="Speak"</formula>
    </cfRule>
  </conditionalFormatting>
  <conditionalFormatting sqref="C15">
    <cfRule type="expression" dxfId="6299" priority="12">
      <formula>$B15="Dial"</formula>
    </cfRule>
    <cfRule type="expression" dxfId="6298" priority="14">
      <formula>$B15="HANGUP"</formula>
    </cfRule>
  </conditionalFormatting>
  <conditionalFormatting sqref="C15">
    <cfRule type="expression" dxfId="6297" priority="13">
      <formula>$B15="Speak"</formula>
    </cfRule>
  </conditionalFormatting>
  <conditionalFormatting sqref="C17">
    <cfRule type="expression" dxfId="6296" priority="10">
      <formula>$B17="Dial"</formula>
    </cfRule>
    <cfRule type="expression" dxfId="6295" priority="11">
      <formula>$B17="HANGUP"</formula>
    </cfRule>
  </conditionalFormatting>
  <conditionalFormatting sqref="C18">
    <cfRule type="expression" dxfId="6294" priority="8">
      <formula>$B18="Dial"</formula>
    </cfRule>
    <cfRule type="expression" dxfId="6293" priority="9">
      <formula>$B18="HANGUP"</formula>
    </cfRule>
  </conditionalFormatting>
  <conditionalFormatting sqref="C19">
    <cfRule type="expression" dxfId="6292" priority="6">
      <formula>$B19="Dial"</formula>
    </cfRule>
    <cfRule type="expression" dxfId="6291" priority="7">
      <formula>$B19="HANGUP"</formula>
    </cfRule>
  </conditionalFormatting>
  <conditionalFormatting sqref="C21">
    <cfRule type="expression" dxfId="6290" priority="4">
      <formula>$B21="Dial"</formula>
    </cfRule>
    <cfRule type="expression" dxfId="6289" priority="5">
      <formula>$B21="HANGUP"</formula>
    </cfRule>
  </conditionalFormatting>
  <conditionalFormatting sqref="C21">
    <cfRule type="expression" dxfId="6288" priority="3">
      <formula>$B21="Speak"</formula>
    </cfRule>
  </conditionalFormatting>
  <conditionalFormatting sqref="C22">
    <cfRule type="expression" dxfId="6287" priority="1">
      <formula>$B22="Dial"</formula>
    </cfRule>
    <cfRule type="expression" dxfId="6286" priority="2">
      <formula>$B22="HANGUP"</formula>
    </cfRule>
  </conditionalFormatting>
  <hyperlinks>
    <hyperlink ref="A1" location="'Test Case Overview'!A1" display="Return to Test Case Overview" xr:uid="{00000000-0004-0000-0E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49" operator="containsText" text="WEB SERVICE" id="{713E0E36-21D9-4C40-952A-76A2A9623D12}">
            <xm:f>NOT(ISERROR(SEARCH("WEB SERVICE",'TC1'!E10)))</xm:f>
            <x14:dxf>
              <font>
                <color rgb="FF9C0006"/>
              </font>
              <fill>
                <patternFill>
                  <bgColor rgb="FFFFC7CE"/>
                </patternFill>
              </fill>
            </x14:dxf>
          </x14:cfRule>
          <x14:cfRule type="containsText" priority="50" operator="containsText" text="DB" id="{68989D4D-7DD0-4758-BC0D-65AC897EAD42}">
            <xm:f>NOT(ISERROR(SEARCH("DB",'TC1'!E10)))</xm:f>
            <x14:dxf>
              <font>
                <color rgb="FF006100"/>
              </font>
              <fill>
                <patternFill>
                  <bgColor rgb="FFC6EFCE"/>
                </patternFill>
              </fill>
            </x14:dxf>
          </x14:cfRule>
          <xm:sqref>E9:E12</xm:sqref>
        </x14:conditionalFormatting>
        <x14:conditionalFormatting xmlns:xm="http://schemas.microsoft.com/office/excel/2006/main">
          <x14:cfRule type="containsText" priority="779" operator="containsText" text="WEB SERVICE" id="{713E0E36-21D9-4C40-952A-76A2A9623D12}">
            <xm:f>NOT(ISERROR(SEARCH("WEB SERVICE",'TC1'!#REF!)))</xm:f>
            <x14:dxf>
              <font>
                <color rgb="FF9C0006"/>
              </font>
              <fill>
                <patternFill>
                  <bgColor rgb="FFFFC7CE"/>
                </patternFill>
              </fill>
            </x14:dxf>
          </x14:cfRule>
          <x14:cfRule type="containsText" priority="780" operator="containsText" text="DB" id="{68989D4D-7DD0-4758-BC0D-65AC897EAD42}">
            <xm:f>NOT(ISERROR(SEARCH("DB",'TC1'!#REF!)))</xm:f>
            <x14:dxf>
              <font>
                <color rgb="FF006100"/>
              </font>
              <fill>
                <patternFill>
                  <bgColor rgb="FFC6EFCE"/>
                </patternFill>
              </fill>
            </x14:dxf>
          </x14:cfRule>
          <xm:sqref>E13:E22</xm:sqref>
        </x14:conditionalFormatting>
      </x14:conditionalFormattings>
    </ext>
  </extLst>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sheetPr codeName="Sheet151"/>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TC149</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VLOOKUP(Table257519913140106110151155170178204207[[#This Row],[PEG]],Table1016[#All],2,FALSE)</f>
        <v>#N/A</v>
      </c>
      <c r="D9" s="125"/>
      <c r="E9" s="122" t="e">
        <f>VLOOKUP(Table257519913140106110151155170178204207[[#This Row],[PEG]],Table1016[#All],3,FALSE)</f>
        <v>#N/A</v>
      </c>
    </row>
    <row r="10" spans="1:5">
      <c r="A10" s="114">
        <v>3</v>
      </c>
      <c r="B10" s="110" t="s">
        <v>115</v>
      </c>
      <c r="C10" s="105" t="e">
        <f>VLOOKUP(Table257519913140106110151155170178204207[[#This Row],[PEG]],Table1016[#All],2,FALSE)</f>
        <v>#N/A</v>
      </c>
      <c r="D10" s="125"/>
      <c r="E10" s="122" t="e">
        <f>VLOOKUP(Table257519913140106110151155170178204207[[#This Row],[PEG]],Table1016[#All],3,FALSE)</f>
        <v>#N/A</v>
      </c>
    </row>
    <row r="11" spans="1:5">
      <c r="A11" s="114">
        <v>4</v>
      </c>
      <c r="B11" s="110" t="s">
        <v>115</v>
      </c>
      <c r="C11" s="105" t="e">
        <f>VLOOKUP(Table257519913140106110151155170178204207[[#This Row],[PEG]],Table1016[#All],2,FALSE)</f>
        <v>#N/A</v>
      </c>
      <c r="D11" s="125"/>
      <c r="E11" s="122" t="e">
        <f>VLOOKUP(Table257519913140106110151155170178204207[[#This Row],[PEG]],Table1016[#All],3,FALSE)</f>
        <v>#N/A</v>
      </c>
    </row>
    <row r="12" spans="1:5">
      <c r="A12" s="114">
        <v>5</v>
      </c>
      <c r="B12" s="110" t="s">
        <v>114</v>
      </c>
      <c r="C12" s="105" t="e">
        <f>VLOOKUP(Table257519913140106110151155170178204207[[#This Row],[PEG]],Table1016[#All],2,FALSE)</f>
        <v>#N/A</v>
      </c>
      <c r="D12" s="125"/>
      <c r="E12" s="122" t="e">
        <f>VLOOKUP(Table257519913140106110151155170178204207[[#This Row],[PEG]],Table1016[#All],3,FALSE)</f>
        <v>#N/A</v>
      </c>
    </row>
    <row r="13" spans="1:5">
      <c r="A13" s="114">
        <v>6</v>
      </c>
      <c r="B13" s="110" t="s">
        <v>115</v>
      </c>
      <c r="C13" s="105" t="e">
        <f>VLOOKUP(Table257519913140106110151155170178204207[[#This Row],[PEG]],Table1016[#All],2,FALSE)</f>
        <v>#N/A</v>
      </c>
      <c r="D13" s="125"/>
      <c r="E13" s="122" t="e">
        <f>VLOOKUP(Table257519913140106110151155170178204207[[#This Row],[PEG]],Table1016[#All],3,FALSE)</f>
        <v>#N/A</v>
      </c>
    </row>
    <row r="14" spans="1:5">
      <c r="A14" s="114">
        <v>7</v>
      </c>
      <c r="B14" s="110" t="s">
        <v>114</v>
      </c>
      <c r="C14" s="105" t="e">
        <f>VLOOKUP(Table257519913140106110151155170178204207[[#This Row],[PEG]],Table1016[#All],2,FALSE)</f>
        <v>#N/A</v>
      </c>
      <c r="D14" s="125"/>
      <c r="E14" s="122" t="e">
        <f>VLOOKUP(Table257519913140106110151155170178204207[[#This Row],[PEG]],Table1016[#All],3,FALSE)</f>
        <v>#N/A</v>
      </c>
    </row>
    <row r="15" spans="1:5">
      <c r="A15" s="114">
        <v>8</v>
      </c>
      <c r="B15" s="110" t="s">
        <v>115</v>
      </c>
      <c r="C15" s="105" t="e">
        <f>VLOOKUP(Table257519913140106110151155170178204207[[#This Row],[PEG]],Table1016[#All],2,FALSE)</f>
        <v>#N/A</v>
      </c>
      <c r="D15" s="112"/>
      <c r="E15" s="122" t="e">
        <f>VLOOKUP(Table257519913140106110151155170178204207[[#This Row],[PEG]],Table1016[#All],3,FALSE)</f>
        <v>#N/A</v>
      </c>
    </row>
    <row r="16" spans="1:5">
      <c r="A16" s="114">
        <v>9</v>
      </c>
      <c r="B16" s="110" t="s">
        <v>12</v>
      </c>
      <c r="C16" s="105" t="e">
        <f>VLOOKUP(Table257519913140106110151155170178204207[[#This Row],[PEG]],Table1016[#All],2,FALSE)</f>
        <v>#N/A</v>
      </c>
      <c r="D16" s="112"/>
      <c r="E16" s="122" t="e">
        <f>VLOOKUP(Table257519913140106110151155170178204207[[#This Row],[PEG]],Table1016[#All],3,FALSE)</f>
        <v>#N/A</v>
      </c>
    </row>
    <row r="17" spans="1:5">
      <c r="A17" s="114">
        <v>10</v>
      </c>
      <c r="B17" s="110" t="s">
        <v>12</v>
      </c>
      <c r="C17" s="105" t="e">
        <f>VLOOKUP(Table257519913140106110151155170178204207[[#This Row],[PEG]],Table1016[#All],2,FALSE)</f>
        <v>#N/A</v>
      </c>
      <c r="D17" s="113"/>
      <c r="E17" s="122" t="e">
        <f>VLOOKUP(Table257519913140106110151155170178204207[[#This Row],[PEG]],Table1016[#All],3,FALSE)</f>
        <v>#N/A</v>
      </c>
    </row>
    <row r="18" spans="1:5">
      <c r="A18" s="114">
        <v>11</v>
      </c>
      <c r="B18" s="110" t="s">
        <v>115</v>
      </c>
      <c r="C18" s="105" t="e">
        <f>VLOOKUP(Table257519913140106110151155170178204207[[#This Row],[PEG]],Table1016[#All],2,FALSE)</f>
        <v>#N/A</v>
      </c>
      <c r="D18" s="113"/>
      <c r="E18" s="122" t="e">
        <f>VLOOKUP(Table257519913140106110151155170178204207[[#This Row],[PEG]],Table1016[#All],3,FALSE)</f>
        <v>#N/A</v>
      </c>
    </row>
    <row r="19" spans="1:5">
      <c r="A19" s="114">
        <v>12</v>
      </c>
      <c r="B19" s="110" t="s">
        <v>115</v>
      </c>
      <c r="C19" s="105" t="e">
        <f>VLOOKUP(Table257519913140106110151155170178204207[[#This Row],[PEG]],Table1016[#All],2,FALSE)</f>
        <v>#N/A</v>
      </c>
      <c r="D19" s="113"/>
      <c r="E19" s="122" t="e">
        <f>VLOOKUP(Table257519913140106110151155170178204207[[#This Row],[PEG]],Table1016[#All],3,FALSE)</f>
        <v>#N/A</v>
      </c>
    </row>
    <row r="20" spans="1:5">
      <c r="A20" s="114">
        <v>13</v>
      </c>
      <c r="B20" s="110" t="s">
        <v>114</v>
      </c>
      <c r="C20" s="105" t="e">
        <f>VLOOKUP(Table257519913140106110151155170178204207[[#This Row],[PEG]],Table1016[#All],2,FALSE)</f>
        <v>#N/A</v>
      </c>
      <c r="D20" s="113"/>
      <c r="E20" s="122" t="e">
        <f>VLOOKUP(Table257519913140106110151155170178204207[[#This Row],[PEG]],Table1016[#All],3,FALSE)</f>
        <v>#N/A</v>
      </c>
    </row>
    <row r="21" spans="1:5">
      <c r="A21" s="114">
        <v>14</v>
      </c>
      <c r="B21" s="110" t="s">
        <v>12</v>
      </c>
      <c r="C21" s="105" t="e">
        <f>VLOOKUP(Table257519913140106110151155170178204207[[#This Row],[PEG]],Table1016[#All],2,FALSE)</f>
        <v>#N/A</v>
      </c>
      <c r="D21" s="113"/>
      <c r="E21" s="122" t="e">
        <f>VLOOKUP(Table257519913140106110151155170178204207[[#This Row],[PEG]],Table1016[#All],3,FALSE)</f>
        <v>#N/A</v>
      </c>
    </row>
    <row r="22" spans="1:5">
      <c r="A22" s="114">
        <v>15</v>
      </c>
      <c r="B22" s="110" t="s">
        <v>12</v>
      </c>
      <c r="C22" s="105" t="e">
        <f>VLOOKUP(Table257519913140106110151155170178204207[[#This Row],[PEG]],Table1016[#All],2,FALSE)</f>
        <v>#N/A</v>
      </c>
      <c r="D22" s="113"/>
      <c r="E22" s="122" t="e">
        <f>VLOOKUP(Table257519913140106110151155170178204207[[#This Row],[PEG]],Table1016[#All],3,FALSE)</f>
        <v>#N/A</v>
      </c>
    </row>
    <row r="23" spans="1:5">
      <c r="A23" s="114">
        <v>16</v>
      </c>
      <c r="B23" s="110" t="s">
        <v>115</v>
      </c>
      <c r="C23" s="105" t="e">
        <f>VLOOKUP(Table257519913140106110151155170178204207[[#This Row],[PEG]],Table1016[#All],2,FALSE)</f>
        <v>#N/A</v>
      </c>
      <c r="D23" s="113"/>
      <c r="E23" s="122" t="e">
        <f>VLOOKUP(Table257519913140106110151155170178204207[[#This Row],[PEG]],Table1016[#All],3,FALSE)</f>
        <v>#N/A</v>
      </c>
    </row>
    <row r="24" spans="1:5">
      <c r="A24" s="114">
        <v>17</v>
      </c>
      <c r="B24" s="110" t="s">
        <v>114</v>
      </c>
      <c r="C24" s="105" t="e">
        <f>VLOOKUP(Table257519913140106110151155170178204207[[#This Row],[PEG]],Table1016[#All],2,FALSE)</f>
        <v>#N/A</v>
      </c>
      <c r="D24" s="113"/>
      <c r="E24" s="122" t="e">
        <f>VLOOKUP(Table257519913140106110151155170178204207[[#This Row],[PEG]],Table1016[#All],3,FALSE)</f>
        <v>#N/A</v>
      </c>
    </row>
    <row r="25" spans="1:5">
      <c r="A25" s="114">
        <v>18</v>
      </c>
      <c r="B25" s="110" t="s">
        <v>12</v>
      </c>
      <c r="C25" s="105" t="e">
        <f>VLOOKUP(Table257519913140106110151155170178204207[[#This Row],[PEG]],Table1016[#All],2,FALSE)</f>
        <v>#N/A</v>
      </c>
      <c r="D25" s="113"/>
      <c r="E25" s="122" t="e">
        <f>VLOOKUP(Table257519913140106110151155170178204207[[#This Row],[PEG]],Table1016[#All],3,FALSE)</f>
        <v>#N/A</v>
      </c>
    </row>
    <row r="26" spans="1:5">
      <c r="A26" s="114">
        <v>19</v>
      </c>
      <c r="B26" s="110" t="s">
        <v>12</v>
      </c>
      <c r="C26" s="105" t="e">
        <f>VLOOKUP(Table257519913140106110151155170178204207[[#This Row],[PEG]],Table1016[#All],2,FALSE)</f>
        <v>#N/A</v>
      </c>
      <c r="D26" s="113"/>
      <c r="E26" s="122" t="e">
        <f>VLOOKUP(Table257519913140106110151155170178204207[[#This Row],[PEG]],Table1016[#All],3,FALSE)</f>
        <v>#N/A</v>
      </c>
    </row>
    <row r="27" spans="1:5">
      <c r="A27" s="114">
        <v>20</v>
      </c>
      <c r="B27" s="110" t="s">
        <v>115</v>
      </c>
      <c r="C27" s="105" t="e">
        <f>VLOOKUP(Table257519913140106110151155170178204207[[#This Row],[PEG]],Table1016[#All],2,FALSE)</f>
        <v>#N/A</v>
      </c>
      <c r="D27" s="113"/>
      <c r="E27" s="122" t="e">
        <f>VLOOKUP(Table257519913140106110151155170178204207[[#This Row],[PEG]],Table1016[#All],3,FALSE)</f>
        <v>#N/A</v>
      </c>
    </row>
    <row r="28" spans="1:5">
      <c r="A28" s="114">
        <v>21</v>
      </c>
      <c r="B28" s="110" t="s">
        <v>114</v>
      </c>
      <c r="C28" s="105" t="e">
        <f>VLOOKUP(Table257519913140106110151155170178204207[[#This Row],[PEG]],Table1016[#All],2,FALSE)</f>
        <v>#N/A</v>
      </c>
      <c r="D28" s="113"/>
      <c r="E28" s="122" t="e">
        <f>VLOOKUP(Table257519913140106110151155170178204207[[#This Row],[PEG]],Table1016[#All],3,FALSE)</f>
        <v>#N/A</v>
      </c>
    </row>
    <row r="29" spans="1:5">
      <c r="A29" s="114">
        <v>22</v>
      </c>
      <c r="B29" s="110" t="s">
        <v>12</v>
      </c>
      <c r="C29" s="105" t="e">
        <f>VLOOKUP(Table257519913140106110151155170178204207[[#This Row],[PEG]],Table1016[#All],2,FALSE)</f>
        <v>#N/A</v>
      </c>
      <c r="D29" s="113"/>
      <c r="E29" s="122" t="e">
        <f>VLOOKUP(Table257519913140106110151155170178204207[[#This Row],[PEG]],Table1016[#All],3,FALSE)</f>
        <v>#N/A</v>
      </c>
    </row>
    <row r="30" spans="1:5">
      <c r="A30" s="114">
        <v>23</v>
      </c>
      <c r="B30" s="110" t="s">
        <v>12</v>
      </c>
      <c r="C30" s="105" t="e">
        <f>VLOOKUP(Table257519913140106110151155170178204207[[#This Row],[PEG]],Table1016[#All],2,FALSE)</f>
        <v>#N/A</v>
      </c>
      <c r="D30" s="113"/>
      <c r="E30" s="122" t="e">
        <f>VLOOKUP(Table257519913140106110151155170178204207[[#This Row],[PEG]],Table1016[#All],3,FALSE)</f>
        <v>#N/A</v>
      </c>
    </row>
    <row r="31" spans="1:5">
      <c r="A31" s="114">
        <v>24</v>
      </c>
      <c r="B31" s="110" t="s">
        <v>115</v>
      </c>
      <c r="C31" s="105" t="e">
        <f>VLOOKUP(Table257519913140106110151155170178204207[[#This Row],[PEG]],Table1016[#All],2,FALSE)</f>
        <v>#N/A</v>
      </c>
      <c r="D31" s="113"/>
      <c r="E31" s="122" t="e">
        <f>VLOOKUP(Table257519913140106110151155170178204207[[#This Row],[PEG]],Table1016[#All],3,FALSE)</f>
        <v>#N/A</v>
      </c>
    </row>
    <row r="32" spans="1:5">
      <c r="A32" s="114">
        <v>25</v>
      </c>
      <c r="B32" s="110" t="s">
        <v>115</v>
      </c>
      <c r="C32" s="105" t="e">
        <f>VLOOKUP(Table257519913140106110151155170178204207[[#This Row],[PEG]],Table1016[#All],2,FALSE)</f>
        <v>#N/A</v>
      </c>
      <c r="D32" s="113"/>
      <c r="E32" s="122" t="e">
        <f>VLOOKUP(Table257519913140106110151155170178204207[[#This Row],[PEG]],Table1016[#All],3,FALSE)</f>
        <v>#N/A</v>
      </c>
    </row>
    <row r="33" spans="1:5">
      <c r="A33" s="114">
        <v>26</v>
      </c>
      <c r="B33" s="110" t="s">
        <v>124</v>
      </c>
      <c r="C33" s="105" t="e">
        <f>VLOOKUP(Table257519913140106110151155170178204207[[#This Row],[PEG]],Table1016[#All],2,FALSE)</f>
        <v>#N/A</v>
      </c>
      <c r="D33" s="113"/>
      <c r="E33" s="122" t="e">
        <f>VLOOKUP(Table257519913140106110151155170178204207[[#This Row],[PEG]],Table1016[#All],3,FALSE)</f>
        <v>#N/A</v>
      </c>
    </row>
    <row r="34" spans="1:5">
      <c r="A34" s="114">
        <v>27</v>
      </c>
      <c r="B34" s="110" t="s">
        <v>115</v>
      </c>
      <c r="C34" s="105" t="e">
        <f>VLOOKUP(Table257519913140106110151155170178204207[[#This Row],[PEG]],Table1016[#All],2,FALSE)</f>
        <v>#N/A</v>
      </c>
      <c r="D34" s="113"/>
      <c r="E34" s="122" t="e">
        <f>VLOOKUP(Table257519913140106110151155170178204207[[#This Row],[PEG]],Table1016[#All],3,FALSE)</f>
        <v>#N/A</v>
      </c>
    </row>
    <row r="35" spans="1:5">
      <c r="A35" s="114">
        <v>28</v>
      </c>
      <c r="B35" s="110" t="s">
        <v>124</v>
      </c>
      <c r="C35" s="105" t="e">
        <f>VLOOKUP(Table257519913140106110151155170178204207[[#This Row],[PEG]],Table1016[#All],2,FALSE)</f>
        <v>#N/A</v>
      </c>
      <c r="D35" s="113"/>
      <c r="E35" s="122" t="e">
        <f>VLOOKUP(Table257519913140106110151155170178204207[[#This Row],[PEG]],Table1016[#All],3,FALSE)</f>
        <v>#N/A</v>
      </c>
    </row>
    <row r="36" spans="1:5">
      <c r="A36" s="114">
        <v>29</v>
      </c>
      <c r="B36" s="110" t="s">
        <v>115</v>
      </c>
      <c r="C36" s="105" t="e">
        <f>VLOOKUP(Table257519913140106110151155170178204207[[#This Row],[PEG]],Table1016[#All],2,FALSE)</f>
        <v>#N/A</v>
      </c>
      <c r="D36" s="113"/>
      <c r="E36" s="122" t="e">
        <f>VLOOKUP(Table257519913140106110151155170178204207[[#This Row],[PEG]],Table1016[#All],3,FALSE)</f>
        <v>#N/A</v>
      </c>
    </row>
    <row r="37" spans="1:5">
      <c r="A37" s="114">
        <v>30</v>
      </c>
      <c r="B37" s="110" t="s">
        <v>12</v>
      </c>
      <c r="C37" s="105" t="e">
        <f>VLOOKUP(Table257519913140106110151155170178204207[[#This Row],[PEG]],Table1016[#All],2,FALSE)</f>
        <v>#N/A</v>
      </c>
      <c r="D37" s="113"/>
      <c r="E37" s="122" t="e">
        <f>VLOOKUP(Table257519913140106110151155170178204207[[#This Row],[PEG]],Table1016[#All],3,FALSE)</f>
        <v>#N/A</v>
      </c>
    </row>
    <row r="38" spans="1:5">
      <c r="A38" s="114">
        <v>31</v>
      </c>
      <c r="B38" s="110" t="s">
        <v>12</v>
      </c>
      <c r="C38" s="105" t="e">
        <f>VLOOKUP(Table257519913140106110151155170178204207[[#This Row],[PEG]],Table1016[#All],2,FALSE)</f>
        <v>#N/A</v>
      </c>
      <c r="D38" s="113"/>
      <c r="E38" s="122" t="e">
        <f>VLOOKUP(Table257519913140106110151155170178204207[[#This Row],[PEG]],Table1016[#All],3,FALSE)</f>
        <v>#N/A</v>
      </c>
    </row>
    <row r="39" spans="1:5">
      <c r="A39" s="114">
        <v>32</v>
      </c>
      <c r="B39" s="110" t="s">
        <v>12</v>
      </c>
      <c r="C39" s="105" t="e">
        <f>VLOOKUP(Table257519913140106110151155170178204207[[#This Row],[PEG]],Table1016[#All],2,FALSE)</f>
        <v>#N/A</v>
      </c>
      <c r="D39" s="113"/>
      <c r="E39" s="122" t="e">
        <f>VLOOKUP(Table257519913140106110151155170178204207[[#This Row],[PEG]],Table1016[#All],3,FALSE)</f>
        <v>#N/A</v>
      </c>
    </row>
    <row r="40" spans="1:5">
      <c r="A40" s="114">
        <v>33</v>
      </c>
      <c r="B40" s="110" t="s">
        <v>12</v>
      </c>
      <c r="C40" s="105" t="e">
        <f>VLOOKUP(Table257519913140106110151155170178204207[[#This Row],[PEG]],Table1016[#All],2,FALSE)</f>
        <v>#N/A</v>
      </c>
      <c r="D40" s="113"/>
      <c r="E40" s="122" t="e">
        <f>VLOOKUP(Table257519913140106110151155170178204207[[#This Row],[PEG]],Table1016[#All],3,FALSE)</f>
        <v>#N/A</v>
      </c>
    </row>
    <row r="41" spans="1:5">
      <c r="A41" s="114">
        <v>34</v>
      </c>
      <c r="B41" s="110" t="s">
        <v>115</v>
      </c>
      <c r="C41" s="105" t="e">
        <f>VLOOKUP(Table257519913140106110151155170178204207[[#This Row],[PEG]],Table1016[#All],2,FALSE)</f>
        <v>#N/A</v>
      </c>
      <c r="D41" s="113"/>
      <c r="E41" s="122" t="e">
        <f>VLOOKUP(Table257519913140106110151155170178204207[[#This Row],[PEG]],Table1016[#All],3,FALSE)</f>
        <v>#N/A</v>
      </c>
    </row>
    <row r="42" spans="1:5">
      <c r="A42" s="114">
        <v>35</v>
      </c>
      <c r="B42" s="110" t="s">
        <v>12</v>
      </c>
      <c r="C42" s="105" t="e">
        <f>VLOOKUP(Table257519913140106110151155170178204207[[#This Row],[PEG]],Table1016[#All],2,FALSE)</f>
        <v>#N/A</v>
      </c>
      <c r="D42" s="111"/>
      <c r="E42" s="122" t="e">
        <f>VLOOKUP(Table257519913140106110151155170178204207[[#This Row],[PEG]],Table1016[#All],3,FALSE)</f>
        <v>#N/A</v>
      </c>
    </row>
    <row r="43" spans="1:5">
      <c r="A43" s="114">
        <v>36</v>
      </c>
      <c r="B43" s="110" t="s">
        <v>115</v>
      </c>
      <c r="C43" s="105" t="e">
        <f>VLOOKUP(Table257519913140106110151155170178204207[[#This Row],[PEG]],Table1016[#All],2,FALSE)</f>
        <v>#N/A</v>
      </c>
      <c r="D43" s="111"/>
      <c r="E43" s="122" t="e">
        <f>VLOOKUP(Table257519913140106110151155170178204207[[#This Row],[PEG]],Table1016[#All],3,FALSE)</f>
        <v>#N/A</v>
      </c>
    </row>
    <row r="44" spans="1:5">
      <c r="A44" s="114">
        <v>37</v>
      </c>
      <c r="B44" s="110" t="s">
        <v>13</v>
      </c>
      <c r="C44" s="17" t="s">
        <v>13</v>
      </c>
      <c r="D44" s="111"/>
      <c r="E44" s="31"/>
    </row>
  </sheetData>
  <mergeCells count="1">
    <mergeCell ref="A1:B1"/>
  </mergeCells>
  <conditionalFormatting sqref="B8:B18">
    <cfRule type="containsText" dxfId="1266" priority="1" operator="containsText" text="Hear">
      <formula>NOT(ISERROR(SEARCH("Hear",B8)))</formula>
    </cfRule>
  </conditionalFormatting>
  <conditionalFormatting sqref="B30">
    <cfRule type="containsText" dxfId="1265" priority="4" operator="containsText" text="Hear">
      <formula>NOT(ISERROR(SEARCH("Hear",B30)))</formula>
    </cfRule>
  </conditionalFormatting>
  <conditionalFormatting sqref="B43:B44">
    <cfRule type="containsText" dxfId="1264" priority="8" operator="containsText" text="Hear">
      <formula>NOT(ISERROR(SEARCH("Hear",B43)))</formula>
    </cfRule>
  </conditionalFormatting>
  <conditionalFormatting sqref="E44">
    <cfRule type="containsText" dxfId="1263" priority="6" operator="containsText" text="WEB SERVICE">
      <formula>NOT(ISERROR(SEARCH("WEB SERVICE",E44)))</formula>
    </cfRule>
    <cfRule type="containsText" dxfId="1262" priority="7" operator="containsText" text="DB">
      <formula>NOT(ISERROR(SEARCH("DB",E44)))</formula>
    </cfRule>
  </conditionalFormatting>
  <conditionalFormatting sqref="C44">
    <cfRule type="expression" dxfId="1261" priority="9">
      <formula>$B44="Dial"</formula>
    </cfRule>
  </conditionalFormatting>
  <conditionalFormatting sqref="C44">
    <cfRule type="expression" dxfId="1260" priority="3">
      <formula>$B44="Speak"</formula>
    </cfRule>
  </conditionalFormatting>
  <conditionalFormatting sqref="B19:B29 B31:B35 B42">
    <cfRule type="containsText" dxfId="1259" priority="5" operator="containsText" text="Hear">
      <formula>NOT(ISERROR(SEARCH("Hear",B19)))</formula>
    </cfRule>
  </conditionalFormatting>
  <hyperlinks>
    <hyperlink ref="A1" location="'Test Case Overview'!A1" display="Return to Test Case Overview" xr:uid="{00000000-0004-0000-95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674926B4-CDF4-4E2F-835D-081B7E4CA8E3}">
            <xm:f>'TC1'!$B8="HANGUP"</xm:f>
            <x14:dxf>
              <font>
                <b/>
                <i val="0"/>
              </font>
            </x14:dxf>
          </x14:cfRule>
          <xm:sqref>C8</xm:sqref>
        </x14:conditionalFormatting>
        <x14:conditionalFormatting xmlns:xm="http://schemas.microsoft.com/office/excel/2006/main">
          <x14:cfRule type="expression" priority="3245" id="{674926B4-CDF4-4E2F-835D-081B7E4CA8E3}">
            <xm:f>'TC1'!$B14="HANGUP"</xm:f>
            <x14:dxf>
              <font>
                <b/>
                <i val="0"/>
              </font>
            </x14:dxf>
          </x14:cfRule>
          <xm:sqref>C34:C43</xm:sqref>
        </x14:conditionalFormatting>
        <x14:conditionalFormatting xmlns:xm="http://schemas.microsoft.com/office/excel/2006/main">
          <x14:cfRule type="expression" priority="3246" id="{674926B4-CDF4-4E2F-835D-081B7E4CA8E3}">
            <xm:f>'TC1'!#REF!="HANGUP"</xm:f>
            <x14:dxf>
              <font>
                <b/>
                <i val="0"/>
              </font>
            </x14:dxf>
          </x14:cfRule>
          <xm:sqref>C13:C33</xm:sqref>
        </x14:conditionalFormatting>
        <x14:conditionalFormatting xmlns:xm="http://schemas.microsoft.com/office/excel/2006/main">
          <x14:cfRule type="expression" priority="4549" id="{674926B4-CDF4-4E2F-835D-081B7E4CA8E3}">
            <xm:f>'TC1'!$B10="HANGUP"</xm:f>
            <x14:dxf>
              <font>
                <b/>
                <i val="0"/>
              </font>
            </x14:dxf>
          </x14:cfRule>
          <xm:sqref>C9:C12</xm:sqref>
        </x14:conditionalFormatting>
      </x14:conditionalFormattings>
    </ext>
  </extLst>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sheetPr codeName="Sheet152"/>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TC150</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VLOOKUP(Table257519913140106110151155170178204209[[#This Row],[PEG]],Table1016[#All],2,FALSE)</f>
        <v>#N/A</v>
      </c>
      <c r="D9" s="125"/>
      <c r="E9" s="122" t="e">
        <f>VLOOKUP(Table257519913140106110151155170178204209[[#This Row],[PEG]],Table1016[#All],3,FALSE)</f>
        <v>#N/A</v>
      </c>
    </row>
    <row r="10" spans="1:5">
      <c r="A10" s="114">
        <v>3</v>
      </c>
      <c r="B10" s="110" t="s">
        <v>115</v>
      </c>
      <c r="C10" s="105" t="e">
        <f>VLOOKUP(Table257519913140106110151155170178204209[[#This Row],[PEG]],Table1016[#All],2,FALSE)</f>
        <v>#N/A</v>
      </c>
      <c r="D10" s="125"/>
      <c r="E10" s="122" t="e">
        <f>VLOOKUP(Table257519913140106110151155170178204209[[#This Row],[PEG]],Table1016[#All],3,FALSE)</f>
        <v>#N/A</v>
      </c>
    </row>
    <row r="11" spans="1:5">
      <c r="A11" s="114">
        <v>4</v>
      </c>
      <c r="B11" s="110" t="s">
        <v>115</v>
      </c>
      <c r="C11" s="105" t="e">
        <f>VLOOKUP(Table257519913140106110151155170178204209[[#This Row],[PEG]],Table1016[#All],2,FALSE)</f>
        <v>#N/A</v>
      </c>
      <c r="D11" s="125"/>
      <c r="E11" s="122" t="e">
        <f>VLOOKUP(Table257519913140106110151155170178204209[[#This Row],[PEG]],Table1016[#All],3,FALSE)</f>
        <v>#N/A</v>
      </c>
    </row>
    <row r="12" spans="1:5">
      <c r="A12" s="114">
        <v>5</v>
      </c>
      <c r="B12" s="110" t="s">
        <v>114</v>
      </c>
      <c r="C12" s="105" t="e">
        <f>VLOOKUP(Table257519913140106110151155170178204209[[#This Row],[PEG]],Table1016[#All],2,FALSE)</f>
        <v>#N/A</v>
      </c>
      <c r="D12" s="125"/>
      <c r="E12" s="122" t="e">
        <f>VLOOKUP(Table257519913140106110151155170178204209[[#This Row],[PEG]],Table1016[#All],3,FALSE)</f>
        <v>#N/A</v>
      </c>
    </row>
    <row r="13" spans="1:5">
      <c r="A13" s="114">
        <v>6</v>
      </c>
      <c r="B13" s="110" t="s">
        <v>115</v>
      </c>
      <c r="C13" s="105" t="e">
        <f>VLOOKUP(Table257519913140106110151155170178204209[[#This Row],[PEG]],Table1016[#All],2,FALSE)</f>
        <v>#N/A</v>
      </c>
      <c r="D13" s="125"/>
      <c r="E13" s="122" t="e">
        <f>VLOOKUP(Table257519913140106110151155170178204209[[#This Row],[PEG]],Table1016[#All],3,FALSE)</f>
        <v>#N/A</v>
      </c>
    </row>
    <row r="14" spans="1:5">
      <c r="A14" s="114">
        <v>7</v>
      </c>
      <c r="B14" s="110" t="s">
        <v>114</v>
      </c>
      <c r="C14" s="105" t="e">
        <f>VLOOKUP(Table257519913140106110151155170178204209[[#This Row],[PEG]],Table1016[#All],2,FALSE)</f>
        <v>#N/A</v>
      </c>
      <c r="D14" s="125"/>
      <c r="E14" s="122" t="e">
        <f>VLOOKUP(Table257519913140106110151155170178204209[[#This Row],[PEG]],Table1016[#All],3,FALSE)</f>
        <v>#N/A</v>
      </c>
    </row>
    <row r="15" spans="1:5">
      <c r="A15" s="114">
        <v>8</v>
      </c>
      <c r="B15" s="110" t="s">
        <v>115</v>
      </c>
      <c r="C15" s="105" t="e">
        <f>VLOOKUP(Table257519913140106110151155170178204209[[#This Row],[PEG]],Table1016[#All],2,FALSE)</f>
        <v>#N/A</v>
      </c>
      <c r="D15" s="112"/>
      <c r="E15" s="122" t="e">
        <f>VLOOKUP(Table257519913140106110151155170178204209[[#This Row],[PEG]],Table1016[#All],3,FALSE)</f>
        <v>#N/A</v>
      </c>
    </row>
    <row r="16" spans="1:5">
      <c r="A16" s="114">
        <v>9</v>
      </c>
      <c r="B16" s="110" t="s">
        <v>12</v>
      </c>
      <c r="C16" s="105" t="e">
        <f>VLOOKUP(Table257519913140106110151155170178204209[[#This Row],[PEG]],Table1016[#All],2,FALSE)</f>
        <v>#N/A</v>
      </c>
      <c r="D16" s="112"/>
      <c r="E16" s="122" t="e">
        <f>VLOOKUP(Table257519913140106110151155170178204209[[#This Row],[PEG]],Table1016[#All],3,FALSE)</f>
        <v>#N/A</v>
      </c>
    </row>
    <row r="17" spans="1:5">
      <c r="A17" s="114">
        <v>10</v>
      </c>
      <c r="B17" s="110" t="s">
        <v>12</v>
      </c>
      <c r="C17" s="105" t="e">
        <f>VLOOKUP(Table257519913140106110151155170178204209[[#This Row],[PEG]],Table1016[#All],2,FALSE)</f>
        <v>#N/A</v>
      </c>
      <c r="D17" s="113"/>
      <c r="E17" s="122" t="e">
        <f>VLOOKUP(Table257519913140106110151155170178204209[[#This Row],[PEG]],Table1016[#All],3,FALSE)</f>
        <v>#N/A</v>
      </c>
    </row>
    <row r="18" spans="1:5">
      <c r="A18" s="114">
        <v>11</v>
      </c>
      <c r="B18" s="110" t="s">
        <v>115</v>
      </c>
      <c r="C18" s="105" t="e">
        <f>VLOOKUP(Table257519913140106110151155170178204209[[#This Row],[PEG]],Table1016[#All],2,FALSE)</f>
        <v>#N/A</v>
      </c>
      <c r="D18" s="113"/>
      <c r="E18" s="122" t="e">
        <f>VLOOKUP(Table257519913140106110151155170178204209[[#This Row],[PEG]],Table1016[#All],3,FALSE)</f>
        <v>#N/A</v>
      </c>
    </row>
    <row r="19" spans="1:5">
      <c r="A19" s="114">
        <v>12</v>
      </c>
      <c r="B19" s="110" t="s">
        <v>115</v>
      </c>
      <c r="C19" s="105" t="e">
        <f>VLOOKUP(Table257519913140106110151155170178204209[[#This Row],[PEG]],Table1016[#All],2,FALSE)</f>
        <v>#N/A</v>
      </c>
      <c r="D19" s="113"/>
      <c r="E19" s="122" t="e">
        <f>VLOOKUP(Table257519913140106110151155170178204209[[#This Row],[PEG]],Table1016[#All],3,FALSE)</f>
        <v>#N/A</v>
      </c>
    </row>
    <row r="20" spans="1:5">
      <c r="A20" s="114">
        <v>13</v>
      </c>
      <c r="B20" s="110" t="s">
        <v>114</v>
      </c>
      <c r="C20" s="105" t="e">
        <f>VLOOKUP(Table257519913140106110151155170178204209[[#This Row],[PEG]],Table1016[#All],2,FALSE)</f>
        <v>#N/A</v>
      </c>
      <c r="D20" s="113"/>
      <c r="E20" s="122" t="e">
        <f>VLOOKUP(Table257519913140106110151155170178204209[[#This Row],[PEG]],Table1016[#All],3,FALSE)</f>
        <v>#N/A</v>
      </c>
    </row>
    <row r="21" spans="1:5">
      <c r="A21" s="114">
        <v>14</v>
      </c>
      <c r="B21" s="110" t="s">
        <v>12</v>
      </c>
      <c r="C21" s="105" t="e">
        <f>VLOOKUP(Table257519913140106110151155170178204209[[#This Row],[PEG]],Table1016[#All],2,FALSE)</f>
        <v>#N/A</v>
      </c>
      <c r="D21" s="113"/>
      <c r="E21" s="122" t="e">
        <f>VLOOKUP(Table257519913140106110151155170178204209[[#This Row],[PEG]],Table1016[#All],3,FALSE)</f>
        <v>#N/A</v>
      </c>
    </row>
    <row r="22" spans="1:5">
      <c r="A22" s="114">
        <v>15</v>
      </c>
      <c r="B22" s="110" t="s">
        <v>12</v>
      </c>
      <c r="C22" s="105" t="e">
        <f>VLOOKUP(Table257519913140106110151155170178204209[[#This Row],[PEG]],Table1016[#All],2,FALSE)</f>
        <v>#N/A</v>
      </c>
      <c r="D22" s="113"/>
      <c r="E22" s="122" t="e">
        <f>VLOOKUP(Table257519913140106110151155170178204209[[#This Row],[PEG]],Table1016[#All],3,FALSE)</f>
        <v>#N/A</v>
      </c>
    </row>
    <row r="23" spans="1:5">
      <c r="A23" s="114">
        <v>16</v>
      </c>
      <c r="B23" s="110" t="s">
        <v>115</v>
      </c>
      <c r="C23" s="105" t="e">
        <f>VLOOKUP(Table257519913140106110151155170178204209[[#This Row],[PEG]],Table1016[#All],2,FALSE)</f>
        <v>#N/A</v>
      </c>
      <c r="D23" s="113"/>
      <c r="E23" s="122" t="e">
        <f>VLOOKUP(Table257519913140106110151155170178204209[[#This Row],[PEG]],Table1016[#All],3,FALSE)</f>
        <v>#N/A</v>
      </c>
    </row>
    <row r="24" spans="1:5">
      <c r="A24" s="114">
        <v>17</v>
      </c>
      <c r="B24" s="110" t="s">
        <v>114</v>
      </c>
      <c r="C24" s="105" t="e">
        <f>VLOOKUP(Table257519913140106110151155170178204209[[#This Row],[PEG]],Table1016[#All],2,FALSE)</f>
        <v>#N/A</v>
      </c>
      <c r="D24" s="113"/>
      <c r="E24" s="122" t="e">
        <f>VLOOKUP(Table257519913140106110151155170178204209[[#This Row],[PEG]],Table1016[#All],3,FALSE)</f>
        <v>#N/A</v>
      </c>
    </row>
    <row r="25" spans="1:5">
      <c r="A25" s="114">
        <v>18</v>
      </c>
      <c r="B25" s="110" t="s">
        <v>12</v>
      </c>
      <c r="C25" s="105" t="e">
        <f>VLOOKUP(Table257519913140106110151155170178204209[[#This Row],[PEG]],Table1016[#All],2,FALSE)</f>
        <v>#N/A</v>
      </c>
      <c r="D25" s="113"/>
      <c r="E25" s="122" t="e">
        <f>VLOOKUP(Table257519913140106110151155170178204209[[#This Row],[PEG]],Table1016[#All],3,FALSE)</f>
        <v>#N/A</v>
      </c>
    </row>
    <row r="26" spans="1:5">
      <c r="A26" s="114">
        <v>19</v>
      </c>
      <c r="B26" s="110" t="s">
        <v>12</v>
      </c>
      <c r="C26" s="105" t="e">
        <f>VLOOKUP(Table257519913140106110151155170178204209[[#This Row],[PEG]],Table1016[#All],2,FALSE)</f>
        <v>#N/A</v>
      </c>
      <c r="D26" s="113"/>
      <c r="E26" s="122" t="e">
        <f>VLOOKUP(Table257519913140106110151155170178204209[[#This Row],[PEG]],Table1016[#All],3,FALSE)</f>
        <v>#N/A</v>
      </c>
    </row>
    <row r="27" spans="1:5">
      <c r="A27" s="114">
        <v>20</v>
      </c>
      <c r="B27" s="110" t="s">
        <v>115</v>
      </c>
      <c r="C27" s="105" t="e">
        <f>VLOOKUP(Table257519913140106110151155170178204209[[#This Row],[PEG]],Table1016[#All],2,FALSE)</f>
        <v>#N/A</v>
      </c>
      <c r="D27" s="113"/>
      <c r="E27" s="122" t="e">
        <f>VLOOKUP(Table257519913140106110151155170178204209[[#This Row],[PEG]],Table1016[#All],3,FALSE)</f>
        <v>#N/A</v>
      </c>
    </row>
    <row r="28" spans="1:5">
      <c r="A28" s="114">
        <v>21</v>
      </c>
      <c r="B28" s="110" t="s">
        <v>114</v>
      </c>
      <c r="C28" s="105" t="e">
        <f>VLOOKUP(Table257519913140106110151155170178204209[[#This Row],[PEG]],Table1016[#All],2,FALSE)</f>
        <v>#N/A</v>
      </c>
      <c r="D28" s="113"/>
      <c r="E28" s="122" t="e">
        <f>VLOOKUP(Table257519913140106110151155170178204209[[#This Row],[PEG]],Table1016[#All],3,FALSE)</f>
        <v>#N/A</v>
      </c>
    </row>
    <row r="29" spans="1:5">
      <c r="A29" s="114">
        <v>22</v>
      </c>
      <c r="B29" s="110" t="s">
        <v>12</v>
      </c>
      <c r="C29" s="105" t="e">
        <f>VLOOKUP(Table257519913140106110151155170178204209[[#This Row],[PEG]],Table1016[#All],2,FALSE)</f>
        <v>#N/A</v>
      </c>
      <c r="D29" s="113"/>
      <c r="E29" s="122" t="e">
        <f>VLOOKUP(Table257519913140106110151155170178204209[[#This Row],[PEG]],Table1016[#All],3,FALSE)</f>
        <v>#N/A</v>
      </c>
    </row>
    <row r="30" spans="1:5">
      <c r="A30" s="114">
        <v>23</v>
      </c>
      <c r="B30" s="110" t="s">
        <v>12</v>
      </c>
      <c r="C30" s="105" t="e">
        <f>VLOOKUP(Table257519913140106110151155170178204209[[#This Row],[PEG]],Table1016[#All],2,FALSE)</f>
        <v>#N/A</v>
      </c>
      <c r="D30" s="113"/>
      <c r="E30" s="122" t="e">
        <f>VLOOKUP(Table257519913140106110151155170178204209[[#This Row],[PEG]],Table1016[#All],3,FALSE)</f>
        <v>#N/A</v>
      </c>
    </row>
    <row r="31" spans="1:5">
      <c r="A31" s="114">
        <v>24</v>
      </c>
      <c r="B31" s="110" t="s">
        <v>115</v>
      </c>
      <c r="C31" s="105" t="e">
        <f>VLOOKUP(Table257519913140106110151155170178204209[[#This Row],[PEG]],Table1016[#All],2,FALSE)</f>
        <v>#N/A</v>
      </c>
      <c r="D31" s="113"/>
      <c r="E31" s="122" t="e">
        <f>VLOOKUP(Table257519913140106110151155170178204209[[#This Row],[PEG]],Table1016[#All],3,FALSE)</f>
        <v>#N/A</v>
      </c>
    </row>
    <row r="32" spans="1:5">
      <c r="A32" s="114">
        <v>25</v>
      </c>
      <c r="B32" s="110" t="s">
        <v>115</v>
      </c>
      <c r="C32" s="105" t="e">
        <f>VLOOKUP(Table257519913140106110151155170178204209[[#This Row],[PEG]],Table1016[#All],2,FALSE)</f>
        <v>#N/A</v>
      </c>
      <c r="D32" s="113"/>
      <c r="E32" s="122" t="e">
        <f>VLOOKUP(Table257519913140106110151155170178204209[[#This Row],[PEG]],Table1016[#All],3,FALSE)</f>
        <v>#N/A</v>
      </c>
    </row>
    <row r="33" spans="1:5">
      <c r="A33" s="114">
        <v>26</v>
      </c>
      <c r="B33" s="110" t="s">
        <v>124</v>
      </c>
      <c r="C33" s="105" t="e">
        <f>VLOOKUP(Table257519913140106110151155170178204209[[#This Row],[PEG]],Table1016[#All],2,FALSE)</f>
        <v>#N/A</v>
      </c>
      <c r="D33" s="113"/>
      <c r="E33" s="122" t="e">
        <f>VLOOKUP(Table257519913140106110151155170178204209[[#This Row],[PEG]],Table1016[#All],3,FALSE)</f>
        <v>#N/A</v>
      </c>
    </row>
    <row r="34" spans="1:5">
      <c r="A34" s="114">
        <v>27</v>
      </c>
      <c r="B34" s="110" t="s">
        <v>115</v>
      </c>
      <c r="C34" s="105" t="e">
        <f>VLOOKUP(Table257519913140106110151155170178204209[[#This Row],[PEG]],Table1016[#All],2,FALSE)</f>
        <v>#N/A</v>
      </c>
      <c r="D34" s="113"/>
      <c r="E34" s="122" t="e">
        <f>VLOOKUP(Table257519913140106110151155170178204209[[#This Row],[PEG]],Table1016[#All],3,FALSE)</f>
        <v>#N/A</v>
      </c>
    </row>
    <row r="35" spans="1:5">
      <c r="A35" s="114">
        <v>28</v>
      </c>
      <c r="B35" s="110" t="s">
        <v>124</v>
      </c>
      <c r="C35" s="105" t="e">
        <f>VLOOKUP(Table257519913140106110151155170178204209[[#This Row],[PEG]],Table1016[#All],2,FALSE)</f>
        <v>#N/A</v>
      </c>
      <c r="D35" s="113"/>
      <c r="E35" s="122" t="e">
        <f>VLOOKUP(Table257519913140106110151155170178204209[[#This Row],[PEG]],Table1016[#All],3,FALSE)</f>
        <v>#N/A</v>
      </c>
    </row>
    <row r="36" spans="1:5">
      <c r="A36" s="114">
        <v>29</v>
      </c>
      <c r="B36" s="110" t="s">
        <v>115</v>
      </c>
      <c r="C36" s="105" t="e">
        <f>VLOOKUP(Table257519913140106110151155170178204209[[#This Row],[PEG]],Table1016[#All],2,FALSE)</f>
        <v>#N/A</v>
      </c>
      <c r="D36" s="113"/>
      <c r="E36" s="122" t="e">
        <f>VLOOKUP(Table257519913140106110151155170178204209[[#This Row],[PEG]],Table1016[#All],3,FALSE)</f>
        <v>#N/A</v>
      </c>
    </row>
    <row r="37" spans="1:5">
      <c r="A37" s="114">
        <v>30</v>
      </c>
      <c r="B37" s="110" t="s">
        <v>12</v>
      </c>
      <c r="C37" s="105" t="e">
        <f>VLOOKUP(Table257519913140106110151155170178204209[[#This Row],[PEG]],Table1016[#All],2,FALSE)</f>
        <v>#N/A</v>
      </c>
      <c r="D37" s="113"/>
      <c r="E37" s="122" t="e">
        <f>VLOOKUP(Table257519913140106110151155170178204209[[#This Row],[PEG]],Table1016[#All],3,FALSE)</f>
        <v>#N/A</v>
      </c>
    </row>
    <row r="38" spans="1:5">
      <c r="A38" s="114">
        <v>31</v>
      </c>
      <c r="B38" s="110" t="s">
        <v>12</v>
      </c>
      <c r="C38" s="105" t="e">
        <f>VLOOKUP(Table257519913140106110151155170178204209[[#This Row],[PEG]],Table1016[#All],2,FALSE)</f>
        <v>#N/A</v>
      </c>
      <c r="D38" s="113"/>
      <c r="E38" s="122" t="e">
        <f>VLOOKUP(Table257519913140106110151155170178204209[[#This Row],[PEG]],Table1016[#All],3,FALSE)</f>
        <v>#N/A</v>
      </c>
    </row>
    <row r="39" spans="1:5">
      <c r="A39" s="114">
        <v>32</v>
      </c>
      <c r="B39" s="110" t="s">
        <v>12</v>
      </c>
      <c r="C39" s="105" t="e">
        <f>VLOOKUP(Table257519913140106110151155170178204209[[#This Row],[PEG]],Table1016[#All],2,FALSE)</f>
        <v>#N/A</v>
      </c>
      <c r="D39" s="113"/>
      <c r="E39" s="122" t="e">
        <f>VLOOKUP(Table257519913140106110151155170178204209[[#This Row],[PEG]],Table1016[#All],3,FALSE)</f>
        <v>#N/A</v>
      </c>
    </row>
    <row r="40" spans="1:5">
      <c r="A40" s="114">
        <v>33</v>
      </c>
      <c r="B40" s="110" t="s">
        <v>12</v>
      </c>
      <c r="C40" s="105" t="e">
        <f>VLOOKUP(Table257519913140106110151155170178204209[[#This Row],[PEG]],Table1016[#All],2,FALSE)</f>
        <v>#N/A</v>
      </c>
      <c r="D40" s="113"/>
      <c r="E40" s="122" t="e">
        <f>VLOOKUP(Table257519913140106110151155170178204209[[#This Row],[PEG]],Table1016[#All],3,FALSE)</f>
        <v>#N/A</v>
      </c>
    </row>
    <row r="41" spans="1:5">
      <c r="A41" s="114">
        <v>34</v>
      </c>
      <c r="B41" s="110" t="s">
        <v>115</v>
      </c>
      <c r="C41" s="105" t="e">
        <f>VLOOKUP(Table257519913140106110151155170178204209[[#This Row],[PEG]],Table1016[#All],2,FALSE)</f>
        <v>#N/A</v>
      </c>
      <c r="D41" s="113"/>
      <c r="E41" s="122" t="e">
        <f>VLOOKUP(Table257519913140106110151155170178204209[[#This Row],[PEG]],Table1016[#All],3,FALSE)</f>
        <v>#N/A</v>
      </c>
    </row>
    <row r="42" spans="1:5">
      <c r="A42" s="114">
        <v>35</v>
      </c>
      <c r="B42" s="110" t="s">
        <v>12</v>
      </c>
      <c r="C42" s="105" t="e">
        <f>VLOOKUP(Table257519913140106110151155170178204209[[#This Row],[PEG]],Table1016[#All],2,FALSE)</f>
        <v>#N/A</v>
      </c>
      <c r="D42" s="111"/>
      <c r="E42" s="122" t="e">
        <f>VLOOKUP(Table257519913140106110151155170178204209[[#This Row],[PEG]],Table1016[#All],3,FALSE)</f>
        <v>#N/A</v>
      </c>
    </row>
    <row r="43" spans="1:5">
      <c r="A43" s="114">
        <v>36</v>
      </c>
      <c r="B43" s="110" t="s">
        <v>115</v>
      </c>
      <c r="C43" s="105" t="e">
        <f>VLOOKUP(Table257519913140106110151155170178204209[[#This Row],[PEG]],Table1016[#All],2,FALSE)</f>
        <v>#N/A</v>
      </c>
      <c r="D43" s="111"/>
      <c r="E43" s="122" t="e">
        <f>VLOOKUP(Table257519913140106110151155170178204209[[#This Row],[PEG]],Table1016[#All],3,FALSE)</f>
        <v>#N/A</v>
      </c>
    </row>
    <row r="44" spans="1:5">
      <c r="A44" s="114">
        <v>37</v>
      </c>
      <c r="B44" s="110" t="s">
        <v>13</v>
      </c>
      <c r="C44" s="17" t="s">
        <v>13</v>
      </c>
      <c r="D44" s="111"/>
      <c r="E44" s="31"/>
    </row>
  </sheetData>
  <mergeCells count="1">
    <mergeCell ref="A1:B1"/>
  </mergeCells>
  <conditionalFormatting sqref="B8:B18">
    <cfRule type="containsText" dxfId="1245" priority="1" operator="containsText" text="Hear">
      <formula>NOT(ISERROR(SEARCH("Hear",B8)))</formula>
    </cfRule>
  </conditionalFormatting>
  <conditionalFormatting sqref="B30">
    <cfRule type="containsText" dxfId="1244" priority="4" operator="containsText" text="Hear">
      <formula>NOT(ISERROR(SEARCH("Hear",B30)))</formula>
    </cfRule>
  </conditionalFormatting>
  <conditionalFormatting sqref="B43:B44">
    <cfRule type="containsText" dxfId="1243" priority="8" operator="containsText" text="Hear">
      <formula>NOT(ISERROR(SEARCH("Hear",B43)))</formula>
    </cfRule>
  </conditionalFormatting>
  <conditionalFormatting sqref="E44">
    <cfRule type="containsText" dxfId="1242" priority="6" operator="containsText" text="WEB SERVICE">
      <formula>NOT(ISERROR(SEARCH("WEB SERVICE",E44)))</formula>
    </cfRule>
    <cfRule type="containsText" dxfId="1241" priority="7" operator="containsText" text="DB">
      <formula>NOT(ISERROR(SEARCH("DB",E44)))</formula>
    </cfRule>
  </conditionalFormatting>
  <conditionalFormatting sqref="C44">
    <cfRule type="expression" dxfId="1240" priority="9">
      <formula>$B44="Dial"</formula>
    </cfRule>
  </conditionalFormatting>
  <conditionalFormatting sqref="C44">
    <cfRule type="expression" dxfId="1239" priority="3">
      <formula>$B44="Speak"</formula>
    </cfRule>
  </conditionalFormatting>
  <conditionalFormatting sqref="B19:B29 B31:B35 B42">
    <cfRule type="containsText" dxfId="1238" priority="5" operator="containsText" text="Hear">
      <formula>NOT(ISERROR(SEARCH("Hear",B19)))</formula>
    </cfRule>
  </conditionalFormatting>
  <hyperlinks>
    <hyperlink ref="A1" location="'Test Case Overview'!A1" display="Return to Test Case Overview" xr:uid="{00000000-0004-0000-96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7A647E51-8576-4222-BC36-EEE03AB0DE7E}">
            <xm:f>'TC1'!$B8="HANGUP"</xm:f>
            <x14:dxf>
              <font>
                <b/>
                <i val="0"/>
              </font>
            </x14:dxf>
          </x14:cfRule>
          <xm:sqref>C8</xm:sqref>
        </x14:conditionalFormatting>
        <x14:conditionalFormatting xmlns:xm="http://schemas.microsoft.com/office/excel/2006/main">
          <x14:cfRule type="expression" priority="3249" id="{7A647E51-8576-4222-BC36-EEE03AB0DE7E}">
            <xm:f>'TC1'!$B14="HANGUP"</xm:f>
            <x14:dxf>
              <font>
                <b/>
                <i val="0"/>
              </font>
            </x14:dxf>
          </x14:cfRule>
          <xm:sqref>C34:C43</xm:sqref>
        </x14:conditionalFormatting>
        <x14:conditionalFormatting xmlns:xm="http://schemas.microsoft.com/office/excel/2006/main">
          <x14:cfRule type="expression" priority="3250" id="{7A647E51-8576-4222-BC36-EEE03AB0DE7E}">
            <xm:f>'TC1'!#REF!="HANGUP"</xm:f>
            <x14:dxf>
              <font>
                <b/>
                <i val="0"/>
              </font>
            </x14:dxf>
          </x14:cfRule>
          <xm:sqref>C13:C33</xm:sqref>
        </x14:conditionalFormatting>
        <x14:conditionalFormatting xmlns:xm="http://schemas.microsoft.com/office/excel/2006/main">
          <x14:cfRule type="expression" priority="4551" id="{7A647E51-8576-4222-BC36-EEE03AB0DE7E}">
            <xm:f>'TC1'!$B10="HANGUP"</xm:f>
            <x14:dxf>
              <font>
                <b/>
                <i val="0"/>
              </font>
            </x14:dxf>
          </x14:cfRule>
          <xm:sqref>C9:C12</xm:sqref>
        </x14:conditionalFormatting>
      </x14:conditionalFormattings>
    </ext>
  </extLst>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sheetPr codeName="Sheet153"/>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TC151</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VLOOKUP(Table257519913140106110151155170178204211[[#This Row],[PEG]],Table1016[#All],2,FALSE)</f>
        <v>#N/A</v>
      </c>
      <c r="D9" s="125"/>
      <c r="E9" s="122" t="e">
        <f>VLOOKUP(Table257519913140106110151155170178204211[[#This Row],[PEG]],Table1016[#All],3,FALSE)</f>
        <v>#N/A</v>
      </c>
    </row>
    <row r="10" spans="1:5">
      <c r="A10" s="114">
        <v>3</v>
      </c>
      <c r="B10" s="110" t="s">
        <v>115</v>
      </c>
      <c r="C10" s="105" t="e">
        <f>VLOOKUP(Table257519913140106110151155170178204211[[#This Row],[PEG]],Table1016[#All],2,FALSE)</f>
        <v>#N/A</v>
      </c>
      <c r="D10" s="125"/>
      <c r="E10" s="122" t="e">
        <f>VLOOKUP(Table257519913140106110151155170178204211[[#This Row],[PEG]],Table1016[#All],3,FALSE)</f>
        <v>#N/A</v>
      </c>
    </row>
    <row r="11" spans="1:5">
      <c r="A11" s="114">
        <v>4</v>
      </c>
      <c r="B11" s="110" t="s">
        <v>115</v>
      </c>
      <c r="C11" s="105" t="e">
        <f>VLOOKUP(Table257519913140106110151155170178204211[[#This Row],[PEG]],Table1016[#All],2,FALSE)</f>
        <v>#N/A</v>
      </c>
      <c r="D11" s="125"/>
      <c r="E11" s="122" t="e">
        <f>VLOOKUP(Table257519913140106110151155170178204211[[#This Row],[PEG]],Table1016[#All],3,FALSE)</f>
        <v>#N/A</v>
      </c>
    </row>
    <row r="12" spans="1:5">
      <c r="A12" s="114">
        <v>5</v>
      </c>
      <c r="B12" s="110" t="s">
        <v>114</v>
      </c>
      <c r="C12" s="105" t="e">
        <f>VLOOKUP(Table257519913140106110151155170178204211[[#This Row],[PEG]],Table1016[#All],2,FALSE)</f>
        <v>#N/A</v>
      </c>
      <c r="D12" s="125"/>
      <c r="E12" s="122" t="e">
        <f>VLOOKUP(Table257519913140106110151155170178204211[[#This Row],[PEG]],Table1016[#All],3,FALSE)</f>
        <v>#N/A</v>
      </c>
    </row>
    <row r="13" spans="1:5">
      <c r="A13" s="114">
        <v>6</v>
      </c>
      <c r="B13" s="110" t="s">
        <v>115</v>
      </c>
      <c r="C13" s="105" t="e">
        <f>VLOOKUP(Table257519913140106110151155170178204211[[#This Row],[PEG]],Table1016[#All],2,FALSE)</f>
        <v>#N/A</v>
      </c>
      <c r="D13" s="125"/>
      <c r="E13" s="122" t="e">
        <f>VLOOKUP(Table257519913140106110151155170178204211[[#This Row],[PEG]],Table1016[#All],3,FALSE)</f>
        <v>#N/A</v>
      </c>
    </row>
    <row r="14" spans="1:5">
      <c r="A14" s="114">
        <v>7</v>
      </c>
      <c r="B14" s="110" t="s">
        <v>114</v>
      </c>
      <c r="C14" s="105" t="e">
        <f>VLOOKUP(Table257519913140106110151155170178204211[[#This Row],[PEG]],Table1016[#All],2,FALSE)</f>
        <v>#N/A</v>
      </c>
      <c r="D14" s="125"/>
      <c r="E14" s="122" t="e">
        <f>VLOOKUP(Table257519913140106110151155170178204211[[#This Row],[PEG]],Table1016[#All],3,FALSE)</f>
        <v>#N/A</v>
      </c>
    </row>
    <row r="15" spans="1:5">
      <c r="A15" s="114">
        <v>8</v>
      </c>
      <c r="B15" s="110" t="s">
        <v>115</v>
      </c>
      <c r="C15" s="105" t="e">
        <f>VLOOKUP(Table257519913140106110151155170178204211[[#This Row],[PEG]],Table1016[#All],2,FALSE)</f>
        <v>#N/A</v>
      </c>
      <c r="D15" s="112"/>
      <c r="E15" s="122" t="e">
        <f>VLOOKUP(Table257519913140106110151155170178204211[[#This Row],[PEG]],Table1016[#All],3,FALSE)</f>
        <v>#N/A</v>
      </c>
    </row>
    <row r="16" spans="1:5">
      <c r="A16" s="114">
        <v>9</v>
      </c>
      <c r="B16" s="110" t="s">
        <v>12</v>
      </c>
      <c r="C16" s="105" t="e">
        <f>VLOOKUP(Table257519913140106110151155170178204211[[#This Row],[PEG]],Table1016[#All],2,FALSE)</f>
        <v>#N/A</v>
      </c>
      <c r="D16" s="112"/>
      <c r="E16" s="122" t="e">
        <f>VLOOKUP(Table257519913140106110151155170178204211[[#This Row],[PEG]],Table1016[#All],3,FALSE)</f>
        <v>#N/A</v>
      </c>
    </row>
    <row r="17" spans="1:5">
      <c r="A17" s="114">
        <v>10</v>
      </c>
      <c r="B17" s="110" t="s">
        <v>12</v>
      </c>
      <c r="C17" s="105" t="e">
        <f>VLOOKUP(Table257519913140106110151155170178204211[[#This Row],[PEG]],Table1016[#All],2,FALSE)</f>
        <v>#N/A</v>
      </c>
      <c r="D17" s="113"/>
      <c r="E17" s="122" t="e">
        <f>VLOOKUP(Table257519913140106110151155170178204211[[#This Row],[PEG]],Table1016[#All],3,FALSE)</f>
        <v>#N/A</v>
      </c>
    </row>
    <row r="18" spans="1:5">
      <c r="A18" s="114">
        <v>11</v>
      </c>
      <c r="B18" s="110" t="s">
        <v>115</v>
      </c>
      <c r="C18" s="105" t="e">
        <f>VLOOKUP(Table257519913140106110151155170178204211[[#This Row],[PEG]],Table1016[#All],2,FALSE)</f>
        <v>#N/A</v>
      </c>
      <c r="D18" s="113"/>
      <c r="E18" s="122" t="e">
        <f>VLOOKUP(Table257519913140106110151155170178204211[[#This Row],[PEG]],Table1016[#All],3,FALSE)</f>
        <v>#N/A</v>
      </c>
    </row>
    <row r="19" spans="1:5">
      <c r="A19" s="114">
        <v>12</v>
      </c>
      <c r="B19" s="110" t="s">
        <v>115</v>
      </c>
      <c r="C19" s="105" t="e">
        <f>VLOOKUP(Table257519913140106110151155170178204211[[#This Row],[PEG]],Table1016[#All],2,FALSE)</f>
        <v>#N/A</v>
      </c>
      <c r="D19" s="113"/>
      <c r="E19" s="122" t="e">
        <f>VLOOKUP(Table257519913140106110151155170178204211[[#This Row],[PEG]],Table1016[#All],3,FALSE)</f>
        <v>#N/A</v>
      </c>
    </row>
    <row r="20" spans="1:5">
      <c r="A20" s="114">
        <v>13</v>
      </c>
      <c r="B20" s="110" t="s">
        <v>114</v>
      </c>
      <c r="C20" s="105" t="e">
        <f>VLOOKUP(Table257519913140106110151155170178204211[[#This Row],[PEG]],Table1016[#All],2,FALSE)</f>
        <v>#N/A</v>
      </c>
      <c r="D20" s="113"/>
      <c r="E20" s="122" t="e">
        <f>VLOOKUP(Table257519913140106110151155170178204211[[#This Row],[PEG]],Table1016[#All],3,FALSE)</f>
        <v>#N/A</v>
      </c>
    </row>
    <row r="21" spans="1:5">
      <c r="A21" s="114">
        <v>14</v>
      </c>
      <c r="B21" s="110" t="s">
        <v>12</v>
      </c>
      <c r="C21" s="105" t="e">
        <f>VLOOKUP(Table257519913140106110151155170178204211[[#This Row],[PEG]],Table1016[#All],2,FALSE)</f>
        <v>#N/A</v>
      </c>
      <c r="D21" s="113"/>
      <c r="E21" s="122" t="e">
        <f>VLOOKUP(Table257519913140106110151155170178204211[[#This Row],[PEG]],Table1016[#All],3,FALSE)</f>
        <v>#N/A</v>
      </c>
    </row>
    <row r="22" spans="1:5">
      <c r="A22" s="114">
        <v>15</v>
      </c>
      <c r="B22" s="110" t="s">
        <v>12</v>
      </c>
      <c r="C22" s="105" t="e">
        <f>VLOOKUP(Table257519913140106110151155170178204211[[#This Row],[PEG]],Table1016[#All],2,FALSE)</f>
        <v>#N/A</v>
      </c>
      <c r="D22" s="113"/>
      <c r="E22" s="122" t="e">
        <f>VLOOKUP(Table257519913140106110151155170178204211[[#This Row],[PEG]],Table1016[#All],3,FALSE)</f>
        <v>#N/A</v>
      </c>
    </row>
    <row r="23" spans="1:5">
      <c r="A23" s="114">
        <v>16</v>
      </c>
      <c r="B23" s="110" t="s">
        <v>115</v>
      </c>
      <c r="C23" s="105" t="e">
        <f>VLOOKUP(Table257519913140106110151155170178204211[[#This Row],[PEG]],Table1016[#All],2,FALSE)</f>
        <v>#N/A</v>
      </c>
      <c r="D23" s="113"/>
      <c r="E23" s="122" t="e">
        <f>VLOOKUP(Table257519913140106110151155170178204211[[#This Row],[PEG]],Table1016[#All],3,FALSE)</f>
        <v>#N/A</v>
      </c>
    </row>
    <row r="24" spans="1:5">
      <c r="A24" s="114">
        <v>17</v>
      </c>
      <c r="B24" s="110" t="s">
        <v>114</v>
      </c>
      <c r="C24" s="105" t="e">
        <f>VLOOKUP(Table257519913140106110151155170178204211[[#This Row],[PEG]],Table1016[#All],2,FALSE)</f>
        <v>#N/A</v>
      </c>
      <c r="D24" s="113"/>
      <c r="E24" s="122" t="e">
        <f>VLOOKUP(Table257519913140106110151155170178204211[[#This Row],[PEG]],Table1016[#All],3,FALSE)</f>
        <v>#N/A</v>
      </c>
    </row>
    <row r="25" spans="1:5">
      <c r="A25" s="114">
        <v>18</v>
      </c>
      <c r="B25" s="110" t="s">
        <v>12</v>
      </c>
      <c r="C25" s="105" t="e">
        <f>VLOOKUP(Table257519913140106110151155170178204211[[#This Row],[PEG]],Table1016[#All],2,FALSE)</f>
        <v>#N/A</v>
      </c>
      <c r="D25" s="113"/>
      <c r="E25" s="122" t="e">
        <f>VLOOKUP(Table257519913140106110151155170178204211[[#This Row],[PEG]],Table1016[#All],3,FALSE)</f>
        <v>#N/A</v>
      </c>
    </row>
    <row r="26" spans="1:5">
      <c r="A26" s="114">
        <v>19</v>
      </c>
      <c r="B26" s="110" t="s">
        <v>12</v>
      </c>
      <c r="C26" s="105" t="e">
        <f>VLOOKUP(Table257519913140106110151155170178204211[[#This Row],[PEG]],Table1016[#All],2,FALSE)</f>
        <v>#N/A</v>
      </c>
      <c r="D26" s="113"/>
      <c r="E26" s="122" t="e">
        <f>VLOOKUP(Table257519913140106110151155170178204211[[#This Row],[PEG]],Table1016[#All],3,FALSE)</f>
        <v>#N/A</v>
      </c>
    </row>
    <row r="27" spans="1:5">
      <c r="A27" s="114">
        <v>20</v>
      </c>
      <c r="B27" s="110" t="s">
        <v>115</v>
      </c>
      <c r="C27" s="105" t="e">
        <f>VLOOKUP(Table257519913140106110151155170178204211[[#This Row],[PEG]],Table1016[#All],2,FALSE)</f>
        <v>#N/A</v>
      </c>
      <c r="D27" s="113"/>
      <c r="E27" s="122" t="e">
        <f>VLOOKUP(Table257519913140106110151155170178204211[[#This Row],[PEG]],Table1016[#All],3,FALSE)</f>
        <v>#N/A</v>
      </c>
    </row>
    <row r="28" spans="1:5">
      <c r="A28" s="114">
        <v>21</v>
      </c>
      <c r="B28" s="110" t="s">
        <v>114</v>
      </c>
      <c r="C28" s="105" t="e">
        <f>VLOOKUP(Table257519913140106110151155170178204211[[#This Row],[PEG]],Table1016[#All],2,FALSE)</f>
        <v>#N/A</v>
      </c>
      <c r="D28" s="113"/>
      <c r="E28" s="122" t="e">
        <f>VLOOKUP(Table257519913140106110151155170178204211[[#This Row],[PEG]],Table1016[#All],3,FALSE)</f>
        <v>#N/A</v>
      </c>
    </row>
    <row r="29" spans="1:5">
      <c r="A29" s="114">
        <v>22</v>
      </c>
      <c r="B29" s="110" t="s">
        <v>12</v>
      </c>
      <c r="C29" s="105" t="e">
        <f>VLOOKUP(Table257519913140106110151155170178204211[[#This Row],[PEG]],Table1016[#All],2,FALSE)</f>
        <v>#N/A</v>
      </c>
      <c r="D29" s="113"/>
      <c r="E29" s="122" t="e">
        <f>VLOOKUP(Table257519913140106110151155170178204211[[#This Row],[PEG]],Table1016[#All],3,FALSE)</f>
        <v>#N/A</v>
      </c>
    </row>
    <row r="30" spans="1:5">
      <c r="A30" s="114">
        <v>23</v>
      </c>
      <c r="B30" s="110" t="s">
        <v>12</v>
      </c>
      <c r="C30" s="105" t="e">
        <f>VLOOKUP(Table257519913140106110151155170178204211[[#This Row],[PEG]],Table1016[#All],2,FALSE)</f>
        <v>#N/A</v>
      </c>
      <c r="D30" s="113"/>
      <c r="E30" s="122" t="e">
        <f>VLOOKUP(Table257519913140106110151155170178204211[[#This Row],[PEG]],Table1016[#All],3,FALSE)</f>
        <v>#N/A</v>
      </c>
    </row>
    <row r="31" spans="1:5">
      <c r="A31" s="114">
        <v>24</v>
      </c>
      <c r="B31" s="110" t="s">
        <v>115</v>
      </c>
      <c r="C31" s="105" t="e">
        <f>VLOOKUP(Table257519913140106110151155170178204211[[#This Row],[PEG]],Table1016[#All],2,FALSE)</f>
        <v>#N/A</v>
      </c>
      <c r="D31" s="113"/>
      <c r="E31" s="122" t="e">
        <f>VLOOKUP(Table257519913140106110151155170178204211[[#This Row],[PEG]],Table1016[#All],3,FALSE)</f>
        <v>#N/A</v>
      </c>
    </row>
    <row r="32" spans="1:5">
      <c r="A32" s="114">
        <v>25</v>
      </c>
      <c r="B32" s="110" t="s">
        <v>115</v>
      </c>
      <c r="C32" s="105" t="e">
        <f>VLOOKUP(Table257519913140106110151155170178204211[[#This Row],[PEG]],Table1016[#All],2,FALSE)</f>
        <v>#N/A</v>
      </c>
      <c r="D32" s="113"/>
      <c r="E32" s="122" t="e">
        <f>VLOOKUP(Table257519913140106110151155170178204211[[#This Row],[PEG]],Table1016[#All],3,FALSE)</f>
        <v>#N/A</v>
      </c>
    </row>
    <row r="33" spans="1:5">
      <c r="A33" s="114">
        <v>26</v>
      </c>
      <c r="B33" s="110" t="s">
        <v>124</v>
      </c>
      <c r="C33" s="105" t="e">
        <f>VLOOKUP(Table257519913140106110151155170178204211[[#This Row],[PEG]],Table1016[#All],2,FALSE)</f>
        <v>#N/A</v>
      </c>
      <c r="D33" s="113"/>
      <c r="E33" s="122" t="e">
        <f>VLOOKUP(Table257519913140106110151155170178204211[[#This Row],[PEG]],Table1016[#All],3,FALSE)</f>
        <v>#N/A</v>
      </c>
    </row>
    <row r="34" spans="1:5">
      <c r="A34" s="114">
        <v>27</v>
      </c>
      <c r="B34" s="110" t="s">
        <v>115</v>
      </c>
      <c r="C34" s="105" t="e">
        <f>VLOOKUP(Table257519913140106110151155170178204211[[#This Row],[PEG]],Table1016[#All],2,FALSE)</f>
        <v>#N/A</v>
      </c>
      <c r="D34" s="113"/>
      <c r="E34" s="122" t="e">
        <f>VLOOKUP(Table257519913140106110151155170178204211[[#This Row],[PEG]],Table1016[#All],3,FALSE)</f>
        <v>#N/A</v>
      </c>
    </row>
    <row r="35" spans="1:5">
      <c r="A35" s="114">
        <v>28</v>
      </c>
      <c r="B35" s="110" t="s">
        <v>124</v>
      </c>
      <c r="C35" s="105" t="e">
        <f>VLOOKUP(Table257519913140106110151155170178204211[[#This Row],[PEG]],Table1016[#All],2,FALSE)</f>
        <v>#N/A</v>
      </c>
      <c r="D35" s="113"/>
      <c r="E35" s="122" t="e">
        <f>VLOOKUP(Table257519913140106110151155170178204211[[#This Row],[PEG]],Table1016[#All],3,FALSE)</f>
        <v>#N/A</v>
      </c>
    </row>
    <row r="36" spans="1:5">
      <c r="A36" s="114">
        <v>29</v>
      </c>
      <c r="B36" s="110" t="s">
        <v>115</v>
      </c>
      <c r="C36" s="105" t="e">
        <f>VLOOKUP(Table257519913140106110151155170178204211[[#This Row],[PEG]],Table1016[#All],2,FALSE)</f>
        <v>#N/A</v>
      </c>
      <c r="D36" s="113"/>
      <c r="E36" s="122" t="e">
        <f>VLOOKUP(Table257519913140106110151155170178204211[[#This Row],[PEG]],Table1016[#All],3,FALSE)</f>
        <v>#N/A</v>
      </c>
    </row>
    <row r="37" spans="1:5">
      <c r="A37" s="114">
        <v>30</v>
      </c>
      <c r="B37" s="110" t="s">
        <v>12</v>
      </c>
      <c r="C37" s="105" t="e">
        <f>VLOOKUP(Table257519913140106110151155170178204211[[#This Row],[PEG]],Table1016[#All],2,FALSE)</f>
        <v>#N/A</v>
      </c>
      <c r="D37" s="113"/>
      <c r="E37" s="122" t="e">
        <f>VLOOKUP(Table257519913140106110151155170178204211[[#This Row],[PEG]],Table1016[#All],3,FALSE)</f>
        <v>#N/A</v>
      </c>
    </row>
    <row r="38" spans="1:5">
      <c r="A38" s="114">
        <v>31</v>
      </c>
      <c r="B38" s="110" t="s">
        <v>12</v>
      </c>
      <c r="C38" s="105" t="e">
        <f>VLOOKUP(Table257519913140106110151155170178204211[[#This Row],[PEG]],Table1016[#All],2,FALSE)</f>
        <v>#N/A</v>
      </c>
      <c r="D38" s="113"/>
      <c r="E38" s="122" t="e">
        <f>VLOOKUP(Table257519913140106110151155170178204211[[#This Row],[PEG]],Table1016[#All],3,FALSE)</f>
        <v>#N/A</v>
      </c>
    </row>
    <row r="39" spans="1:5">
      <c r="A39" s="114">
        <v>32</v>
      </c>
      <c r="B39" s="110" t="s">
        <v>12</v>
      </c>
      <c r="C39" s="105" t="e">
        <f>VLOOKUP(Table257519913140106110151155170178204211[[#This Row],[PEG]],Table1016[#All],2,FALSE)</f>
        <v>#N/A</v>
      </c>
      <c r="D39" s="113"/>
      <c r="E39" s="122" t="e">
        <f>VLOOKUP(Table257519913140106110151155170178204211[[#This Row],[PEG]],Table1016[#All],3,FALSE)</f>
        <v>#N/A</v>
      </c>
    </row>
    <row r="40" spans="1:5">
      <c r="A40" s="114">
        <v>33</v>
      </c>
      <c r="B40" s="110" t="s">
        <v>12</v>
      </c>
      <c r="C40" s="105" t="e">
        <f>VLOOKUP(Table257519913140106110151155170178204211[[#This Row],[PEG]],Table1016[#All],2,FALSE)</f>
        <v>#N/A</v>
      </c>
      <c r="D40" s="113"/>
      <c r="E40" s="122" t="e">
        <f>VLOOKUP(Table257519913140106110151155170178204211[[#This Row],[PEG]],Table1016[#All],3,FALSE)</f>
        <v>#N/A</v>
      </c>
    </row>
    <row r="41" spans="1:5">
      <c r="A41" s="114">
        <v>34</v>
      </c>
      <c r="B41" s="110" t="s">
        <v>115</v>
      </c>
      <c r="C41" s="105" t="e">
        <f>VLOOKUP(Table257519913140106110151155170178204211[[#This Row],[PEG]],Table1016[#All],2,FALSE)</f>
        <v>#N/A</v>
      </c>
      <c r="D41" s="113"/>
      <c r="E41" s="122" t="e">
        <f>VLOOKUP(Table257519913140106110151155170178204211[[#This Row],[PEG]],Table1016[#All],3,FALSE)</f>
        <v>#N/A</v>
      </c>
    </row>
    <row r="42" spans="1:5">
      <c r="A42" s="114">
        <v>35</v>
      </c>
      <c r="B42" s="110" t="s">
        <v>12</v>
      </c>
      <c r="C42" s="105" t="e">
        <f>VLOOKUP(Table257519913140106110151155170178204211[[#This Row],[PEG]],Table1016[#All],2,FALSE)</f>
        <v>#N/A</v>
      </c>
      <c r="D42" s="111"/>
      <c r="E42" s="122" t="e">
        <f>VLOOKUP(Table257519913140106110151155170178204211[[#This Row],[PEG]],Table1016[#All],3,FALSE)</f>
        <v>#N/A</v>
      </c>
    </row>
    <row r="43" spans="1:5">
      <c r="A43" s="114">
        <v>36</v>
      </c>
      <c r="B43" s="110" t="s">
        <v>115</v>
      </c>
      <c r="C43" s="105" t="e">
        <f>VLOOKUP(Table257519913140106110151155170178204211[[#This Row],[PEG]],Table1016[#All],2,FALSE)</f>
        <v>#N/A</v>
      </c>
      <c r="D43" s="111"/>
      <c r="E43" s="122" t="e">
        <f>VLOOKUP(Table257519913140106110151155170178204211[[#This Row],[PEG]],Table1016[#All],3,FALSE)</f>
        <v>#N/A</v>
      </c>
    </row>
    <row r="44" spans="1:5">
      <c r="A44" s="114">
        <v>37</v>
      </c>
      <c r="B44" s="110" t="s">
        <v>13</v>
      </c>
      <c r="C44" s="17" t="s">
        <v>13</v>
      </c>
      <c r="D44" s="111"/>
      <c r="E44" s="31"/>
    </row>
  </sheetData>
  <mergeCells count="1">
    <mergeCell ref="A1:B1"/>
  </mergeCells>
  <conditionalFormatting sqref="B8:B18">
    <cfRule type="containsText" dxfId="1224" priority="1" operator="containsText" text="Hear">
      <formula>NOT(ISERROR(SEARCH("Hear",B8)))</formula>
    </cfRule>
  </conditionalFormatting>
  <conditionalFormatting sqref="B30">
    <cfRule type="containsText" dxfId="1223" priority="4" operator="containsText" text="Hear">
      <formula>NOT(ISERROR(SEARCH("Hear",B30)))</formula>
    </cfRule>
  </conditionalFormatting>
  <conditionalFormatting sqref="B43:B44">
    <cfRule type="containsText" dxfId="1222" priority="8" operator="containsText" text="Hear">
      <formula>NOT(ISERROR(SEARCH("Hear",B43)))</formula>
    </cfRule>
  </conditionalFormatting>
  <conditionalFormatting sqref="E44">
    <cfRule type="containsText" dxfId="1221" priority="6" operator="containsText" text="WEB SERVICE">
      <formula>NOT(ISERROR(SEARCH("WEB SERVICE",E44)))</formula>
    </cfRule>
    <cfRule type="containsText" dxfId="1220" priority="7" operator="containsText" text="DB">
      <formula>NOT(ISERROR(SEARCH("DB",E44)))</formula>
    </cfRule>
  </conditionalFormatting>
  <conditionalFormatting sqref="C44">
    <cfRule type="expression" dxfId="1219" priority="9">
      <formula>$B44="Dial"</formula>
    </cfRule>
  </conditionalFormatting>
  <conditionalFormatting sqref="C44">
    <cfRule type="expression" dxfId="1218" priority="3">
      <formula>$B44="Speak"</formula>
    </cfRule>
  </conditionalFormatting>
  <conditionalFormatting sqref="B19:B29 B31:B35 B42">
    <cfRule type="containsText" dxfId="1217" priority="5" operator="containsText" text="Hear">
      <formula>NOT(ISERROR(SEARCH("Hear",B19)))</formula>
    </cfRule>
  </conditionalFormatting>
  <hyperlinks>
    <hyperlink ref="A1" location="'Test Case Overview'!A1" display="Return to Test Case Overview" xr:uid="{00000000-0004-0000-97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85828B84-D64B-4002-AEC7-9A9D312FB52E}">
            <xm:f>'TC1'!$B8="HANGUP"</xm:f>
            <x14:dxf>
              <font>
                <b/>
                <i val="0"/>
              </font>
            </x14:dxf>
          </x14:cfRule>
          <xm:sqref>C8</xm:sqref>
        </x14:conditionalFormatting>
        <x14:conditionalFormatting xmlns:xm="http://schemas.microsoft.com/office/excel/2006/main">
          <x14:cfRule type="expression" priority="3253" id="{85828B84-D64B-4002-AEC7-9A9D312FB52E}">
            <xm:f>'TC1'!$B14="HANGUP"</xm:f>
            <x14:dxf>
              <font>
                <b/>
                <i val="0"/>
              </font>
            </x14:dxf>
          </x14:cfRule>
          <xm:sqref>C34:C43</xm:sqref>
        </x14:conditionalFormatting>
        <x14:conditionalFormatting xmlns:xm="http://schemas.microsoft.com/office/excel/2006/main">
          <x14:cfRule type="expression" priority="3254" id="{85828B84-D64B-4002-AEC7-9A9D312FB52E}">
            <xm:f>'TC1'!#REF!="HANGUP"</xm:f>
            <x14:dxf>
              <font>
                <b/>
                <i val="0"/>
              </font>
            </x14:dxf>
          </x14:cfRule>
          <xm:sqref>C13:C33</xm:sqref>
        </x14:conditionalFormatting>
        <x14:conditionalFormatting xmlns:xm="http://schemas.microsoft.com/office/excel/2006/main">
          <x14:cfRule type="expression" priority="4553" id="{85828B84-D64B-4002-AEC7-9A9D312FB52E}">
            <xm:f>'TC1'!$B10="HANGUP"</xm:f>
            <x14:dxf>
              <font>
                <b/>
                <i val="0"/>
              </font>
            </x14:dxf>
          </x14:cfRule>
          <xm:sqref>C9:C12</xm:sqref>
        </x14:conditionalFormatting>
      </x14:conditionalFormattings>
    </ext>
  </extLst>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sheetPr codeName="Sheet154"/>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TC152</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VLOOKUP(Table257519913140106110151155170178204213[[#This Row],[PEG]],Table1016[#All],2,FALSE)</f>
        <v>#N/A</v>
      </c>
      <c r="D9" s="125"/>
      <c r="E9" s="122" t="e">
        <f>VLOOKUP(Table257519913140106110151155170178204213[[#This Row],[PEG]],Table1016[#All],3,FALSE)</f>
        <v>#N/A</v>
      </c>
    </row>
    <row r="10" spans="1:5">
      <c r="A10" s="114">
        <v>3</v>
      </c>
      <c r="B10" s="110" t="s">
        <v>115</v>
      </c>
      <c r="C10" s="105" t="e">
        <f>VLOOKUP(Table257519913140106110151155170178204213[[#This Row],[PEG]],Table1016[#All],2,FALSE)</f>
        <v>#N/A</v>
      </c>
      <c r="D10" s="125"/>
      <c r="E10" s="122" t="e">
        <f>VLOOKUP(Table257519913140106110151155170178204213[[#This Row],[PEG]],Table1016[#All],3,FALSE)</f>
        <v>#N/A</v>
      </c>
    </row>
    <row r="11" spans="1:5">
      <c r="A11" s="114">
        <v>4</v>
      </c>
      <c r="B11" s="110" t="s">
        <v>115</v>
      </c>
      <c r="C11" s="105" t="e">
        <f>VLOOKUP(Table257519913140106110151155170178204213[[#This Row],[PEG]],Table1016[#All],2,FALSE)</f>
        <v>#N/A</v>
      </c>
      <c r="D11" s="125"/>
      <c r="E11" s="122" t="e">
        <f>VLOOKUP(Table257519913140106110151155170178204213[[#This Row],[PEG]],Table1016[#All],3,FALSE)</f>
        <v>#N/A</v>
      </c>
    </row>
    <row r="12" spans="1:5">
      <c r="A12" s="114">
        <v>5</v>
      </c>
      <c r="B12" s="110" t="s">
        <v>114</v>
      </c>
      <c r="C12" s="105" t="e">
        <f>VLOOKUP(Table257519913140106110151155170178204213[[#This Row],[PEG]],Table1016[#All],2,FALSE)</f>
        <v>#N/A</v>
      </c>
      <c r="D12" s="125"/>
      <c r="E12" s="122" t="e">
        <f>VLOOKUP(Table257519913140106110151155170178204213[[#This Row],[PEG]],Table1016[#All],3,FALSE)</f>
        <v>#N/A</v>
      </c>
    </row>
    <row r="13" spans="1:5">
      <c r="A13" s="114">
        <v>6</v>
      </c>
      <c r="B13" s="110" t="s">
        <v>115</v>
      </c>
      <c r="C13" s="105" t="e">
        <f>VLOOKUP(Table257519913140106110151155170178204213[[#This Row],[PEG]],Table1016[#All],2,FALSE)</f>
        <v>#N/A</v>
      </c>
      <c r="D13" s="125"/>
      <c r="E13" s="122" t="e">
        <f>VLOOKUP(Table257519913140106110151155170178204213[[#This Row],[PEG]],Table1016[#All],3,FALSE)</f>
        <v>#N/A</v>
      </c>
    </row>
    <row r="14" spans="1:5">
      <c r="A14" s="114">
        <v>7</v>
      </c>
      <c r="B14" s="110" t="s">
        <v>114</v>
      </c>
      <c r="C14" s="105" t="e">
        <f>VLOOKUP(Table257519913140106110151155170178204213[[#This Row],[PEG]],Table1016[#All],2,FALSE)</f>
        <v>#N/A</v>
      </c>
      <c r="D14" s="125"/>
      <c r="E14" s="122" t="e">
        <f>VLOOKUP(Table257519913140106110151155170178204213[[#This Row],[PEG]],Table1016[#All],3,FALSE)</f>
        <v>#N/A</v>
      </c>
    </row>
    <row r="15" spans="1:5">
      <c r="A15" s="114">
        <v>8</v>
      </c>
      <c r="B15" s="110" t="s">
        <v>115</v>
      </c>
      <c r="C15" s="105" t="e">
        <f>VLOOKUP(Table257519913140106110151155170178204213[[#This Row],[PEG]],Table1016[#All],2,FALSE)</f>
        <v>#N/A</v>
      </c>
      <c r="D15" s="112"/>
      <c r="E15" s="122" t="e">
        <f>VLOOKUP(Table257519913140106110151155170178204213[[#This Row],[PEG]],Table1016[#All],3,FALSE)</f>
        <v>#N/A</v>
      </c>
    </row>
    <row r="16" spans="1:5">
      <c r="A16" s="114">
        <v>9</v>
      </c>
      <c r="B16" s="110" t="s">
        <v>12</v>
      </c>
      <c r="C16" s="105" t="e">
        <f>VLOOKUP(Table257519913140106110151155170178204213[[#This Row],[PEG]],Table1016[#All],2,FALSE)</f>
        <v>#N/A</v>
      </c>
      <c r="D16" s="112"/>
      <c r="E16" s="122" t="e">
        <f>VLOOKUP(Table257519913140106110151155170178204213[[#This Row],[PEG]],Table1016[#All],3,FALSE)</f>
        <v>#N/A</v>
      </c>
    </row>
    <row r="17" spans="1:5">
      <c r="A17" s="114">
        <v>10</v>
      </c>
      <c r="B17" s="110" t="s">
        <v>12</v>
      </c>
      <c r="C17" s="105" t="e">
        <f>VLOOKUP(Table257519913140106110151155170178204213[[#This Row],[PEG]],Table1016[#All],2,FALSE)</f>
        <v>#N/A</v>
      </c>
      <c r="D17" s="113"/>
      <c r="E17" s="122" t="e">
        <f>VLOOKUP(Table257519913140106110151155170178204213[[#This Row],[PEG]],Table1016[#All],3,FALSE)</f>
        <v>#N/A</v>
      </c>
    </row>
    <row r="18" spans="1:5">
      <c r="A18" s="114">
        <v>11</v>
      </c>
      <c r="B18" s="110" t="s">
        <v>115</v>
      </c>
      <c r="C18" s="105" t="e">
        <f>VLOOKUP(Table257519913140106110151155170178204213[[#This Row],[PEG]],Table1016[#All],2,FALSE)</f>
        <v>#N/A</v>
      </c>
      <c r="D18" s="113"/>
      <c r="E18" s="122" t="e">
        <f>VLOOKUP(Table257519913140106110151155170178204213[[#This Row],[PEG]],Table1016[#All],3,FALSE)</f>
        <v>#N/A</v>
      </c>
    </row>
    <row r="19" spans="1:5">
      <c r="A19" s="114">
        <v>12</v>
      </c>
      <c r="B19" s="110" t="s">
        <v>115</v>
      </c>
      <c r="C19" s="105" t="e">
        <f>VLOOKUP(Table257519913140106110151155170178204213[[#This Row],[PEG]],Table1016[#All],2,FALSE)</f>
        <v>#N/A</v>
      </c>
      <c r="D19" s="113"/>
      <c r="E19" s="122" t="e">
        <f>VLOOKUP(Table257519913140106110151155170178204213[[#This Row],[PEG]],Table1016[#All],3,FALSE)</f>
        <v>#N/A</v>
      </c>
    </row>
    <row r="20" spans="1:5">
      <c r="A20" s="114">
        <v>13</v>
      </c>
      <c r="B20" s="110" t="s">
        <v>114</v>
      </c>
      <c r="C20" s="105" t="e">
        <f>VLOOKUP(Table257519913140106110151155170178204213[[#This Row],[PEG]],Table1016[#All],2,FALSE)</f>
        <v>#N/A</v>
      </c>
      <c r="D20" s="113"/>
      <c r="E20" s="122" t="e">
        <f>VLOOKUP(Table257519913140106110151155170178204213[[#This Row],[PEG]],Table1016[#All],3,FALSE)</f>
        <v>#N/A</v>
      </c>
    </row>
    <row r="21" spans="1:5">
      <c r="A21" s="114">
        <v>14</v>
      </c>
      <c r="B21" s="110" t="s">
        <v>12</v>
      </c>
      <c r="C21" s="105" t="e">
        <f>VLOOKUP(Table257519913140106110151155170178204213[[#This Row],[PEG]],Table1016[#All],2,FALSE)</f>
        <v>#N/A</v>
      </c>
      <c r="D21" s="113"/>
      <c r="E21" s="122" t="e">
        <f>VLOOKUP(Table257519913140106110151155170178204213[[#This Row],[PEG]],Table1016[#All],3,FALSE)</f>
        <v>#N/A</v>
      </c>
    </row>
    <row r="22" spans="1:5">
      <c r="A22" s="114">
        <v>15</v>
      </c>
      <c r="B22" s="110" t="s">
        <v>12</v>
      </c>
      <c r="C22" s="105" t="e">
        <f>VLOOKUP(Table257519913140106110151155170178204213[[#This Row],[PEG]],Table1016[#All],2,FALSE)</f>
        <v>#N/A</v>
      </c>
      <c r="D22" s="113"/>
      <c r="E22" s="122" t="e">
        <f>VLOOKUP(Table257519913140106110151155170178204213[[#This Row],[PEG]],Table1016[#All],3,FALSE)</f>
        <v>#N/A</v>
      </c>
    </row>
    <row r="23" spans="1:5">
      <c r="A23" s="114">
        <v>16</v>
      </c>
      <c r="B23" s="110" t="s">
        <v>115</v>
      </c>
      <c r="C23" s="105" t="e">
        <f>VLOOKUP(Table257519913140106110151155170178204213[[#This Row],[PEG]],Table1016[#All],2,FALSE)</f>
        <v>#N/A</v>
      </c>
      <c r="D23" s="113"/>
      <c r="E23" s="122" t="e">
        <f>VLOOKUP(Table257519913140106110151155170178204213[[#This Row],[PEG]],Table1016[#All],3,FALSE)</f>
        <v>#N/A</v>
      </c>
    </row>
    <row r="24" spans="1:5">
      <c r="A24" s="114">
        <v>17</v>
      </c>
      <c r="B24" s="110" t="s">
        <v>114</v>
      </c>
      <c r="C24" s="105" t="e">
        <f>VLOOKUP(Table257519913140106110151155170178204213[[#This Row],[PEG]],Table1016[#All],2,FALSE)</f>
        <v>#N/A</v>
      </c>
      <c r="D24" s="113"/>
      <c r="E24" s="122" t="e">
        <f>VLOOKUP(Table257519913140106110151155170178204213[[#This Row],[PEG]],Table1016[#All],3,FALSE)</f>
        <v>#N/A</v>
      </c>
    </row>
    <row r="25" spans="1:5">
      <c r="A25" s="114">
        <v>18</v>
      </c>
      <c r="B25" s="110" t="s">
        <v>12</v>
      </c>
      <c r="C25" s="105" t="e">
        <f>VLOOKUP(Table257519913140106110151155170178204213[[#This Row],[PEG]],Table1016[#All],2,FALSE)</f>
        <v>#N/A</v>
      </c>
      <c r="D25" s="113"/>
      <c r="E25" s="122" t="e">
        <f>VLOOKUP(Table257519913140106110151155170178204213[[#This Row],[PEG]],Table1016[#All],3,FALSE)</f>
        <v>#N/A</v>
      </c>
    </row>
    <row r="26" spans="1:5">
      <c r="A26" s="114">
        <v>19</v>
      </c>
      <c r="B26" s="110" t="s">
        <v>12</v>
      </c>
      <c r="C26" s="105" t="e">
        <f>VLOOKUP(Table257519913140106110151155170178204213[[#This Row],[PEG]],Table1016[#All],2,FALSE)</f>
        <v>#N/A</v>
      </c>
      <c r="D26" s="113"/>
      <c r="E26" s="122" t="e">
        <f>VLOOKUP(Table257519913140106110151155170178204213[[#This Row],[PEG]],Table1016[#All],3,FALSE)</f>
        <v>#N/A</v>
      </c>
    </row>
    <row r="27" spans="1:5">
      <c r="A27" s="114">
        <v>20</v>
      </c>
      <c r="B27" s="110" t="s">
        <v>115</v>
      </c>
      <c r="C27" s="105" t="e">
        <f>VLOOKUP(Table257519913140106110151155170178204213[[#This Row],[PEG]],Table1016[#All],2,FALSE)</f>
        <v>#N/A</v>
      </c>
      <c r="D27" s="113"/>
      <c r="E27" s="122" t="e">
        <f>VLOOKUP(Table257519913140106110151155170178204213[[#This Row],[PEG]],Table1016[#All],3,FALSE)</f>
        <v>#N/A</v>
      </c>
    </row>
    <row r="28" spans="1:5">
      <c r="A28" s="114">
        <v>21</v>
      </c>
      <c r="B28" s="110" t="s">
        <v>114</v>
      </c>
      <c r="C28" s="105" t="e">
        <f>VLOOKUP(Table257519913140106110151155170178204213[[#This Row],[PEG]],Table1016[#All],2,FALSE)</f>
        <v>#N/A</v>
      </c>
      <c r="D28" s="113"/>
      <c r="E28" s="122" t="e">
        <f>VLOOKUP(Table257519913140106110151155170178204213[[#This Row],[PEG]],Table1016[#All],3,FALSE)</f>
        <v>#N/A</v>
      </c>
    </row>
    <row r="29" spans="1:5">
      <c r="A29" s="114">
        <v>22</v>
      </c>
      <c r="B29" s="110" t="s">
        <v>12</v>
      </c>
      <c r="C29" s="105" t="e">
        <f>VLOOKUP(Table257519913140106110151155170178204213[[#This Row],[PEG]],Table1016[#All],2,FALSE)</f>
        <v>#N/A</v>
      </c>
      <c r="D29" s="113"/>
      <c r="E29" s="122" t="e">
        <f>VLOOKUP(Table257519913140106110151155170178204213[[#This Row],[PEG]],Table1016[#All],3,FALSE)</f>
        <v>#N/A</v>
      </c>
    </row>
    <row r="30" spans="1:5">
      <c r="A30" s="114">
        <v>23</v>
      </c>
      <c r="B30" s="110" t="s">
        <v>12</v>
      </c>
      <c r="C30" s="105" t="e">
        <f>VLOOKUP(Table257519913140106110151155170178204213[[#This Row],[PEG]],Table1016[#All],2,FALSE)</f>
        <v>#N/A</v>
      </c>
      <c r="D30" s="113"/>
      <c r="E30" s="122" t="e">
        <f>VLOOKUP(Table257519913140106110151155170178204213[[#This Row],[PEG]],Table1016[#All],3,FALSE)</f>
        <v>#N/A</v>
      </c>
    </row>
    <row r="31" spans="1:5">
      <c r="A31" s="114">
        <v>24</v>
      </c>
      <c r="B31" s="110" t="s">
        <v>115</v>
      </c>
      <c r="C31" s="105" t="e">
        <f>VLOOKUP(Table257519913140106110151155170178204213[[#This Row],[PEG]],Table1016[#All],2,FALSE)</f>
        <v>#N/A</v>
      </c>
      <c r="D31" s="113"/>
      <c r="E31" s="122" t="e">
        <f>VLOOKUP(Table257519913140106110151155170178204213[[#This Row],[PEG]],Table1016[#All],3,FALSE)</f>
        <v>#N/A</v>
      </c>
    </row>
    <row r="32" spans="1:5">
      <c r="A32" s="114">
        <v>25</v>
      </c>
      <c r="B32" s="110" t="s">
        <v>115</v>
      </c>
      <c r="C32" s="105" t="e">
        <f>VLOOKUP(Table257519913140106110151155170178204213[[#This Row],[PEG]],Table1016[#All],2,FALSE)</f>
        <v>#N/A</v>
      </c>
      <c r="D32" s="113"/>
      <c r="E32" s="122" t="e">
        <f>VLOOKUP(Table257519913140106110151155170178204213[[#This Row],[PEG]],Table1016[#All],3,FALSE)</f>
        <v>#N/A</v>
      </c>
    </row>
    <row r="33" spans="1:5">
      <c r="A33" s="114">
        <v>26</v>
      </c>
      <c r="B33" s="110" t="s">
        <v>124</v>
      </c>
      <c r="C33" s="105" t="e">
        <f>VLOOKUP(Table257519913140106110151155170178204213[[#This Row],[PEG]],Table1016[#All],2,FALSE)</f>
        <v>#N/A</v>
      </c>
      <c r="D33" s="113"/>
      <c r="E33" s="122" t="e">
        <f>VLOOKUP(Table257519913140106110151155170178204213[[#This Row],[PEG]],Table1016[#All],3,FALSE)</f>
        <v>#N/A</v>
      </c>
    </row>
    <row r="34" spans="1:5">
      <c r="A34" s="114">
        <v>27</v>
      </c>
      <c r="B34" s="110" t="s">
        <v>115</v>
      </c>
      <c r="C34" s="105" t="e">
        <f>VLOOKUP(Table257519913140106110151155170178204213[[#This Row],[PEG]],Table1016[#All],2,FALSE)</f>
        <v>#N/A</v>
      </c>
      <c r="D34" s="113"/>
      <c r="E34" s="122" t="e">
        <f>VLOOKUP(Table257519913140106110151155170178204213[[#This Row],[PEG]],Table1016[#All],3,FALSE)</f>
        <v>#N/A</v>
      </c>
    </row>
    <row r="35" spans="1:5">
      <c r="A35" s="114">
        <v>28</v>
      </c>
      <c r="B35" s="110" t="s">
        <v>124</v>
      </c>
      <c r="C35" s="105" t="e">
        <f>VLOOKUP(Table257519913140106110151155170178204213[[#This Row],[PEG]],Table1016[#All],2,FALSE)</f>
        <v>#N/A</v>
      </c>
      <c r="D35" s="113"/>
      <c r="E35" s="122" t="e">
        <f>VLOOKUP(Table257519913140106110151155170178204213[[#This Row],[PEG]],Table1016[#All],3,FALSE)</f>
        <v>#N/A</v>
      </c>
    </row>
    <row r="36" spans="1:5">
      <c r="A36" s="114">
        <v>29</v>
      </c>
      <c r="B36" s="110" t="s">
        <v>115</v>
      </c>
      <c r="C36" s="105" t="e">
        <f>VLOOKUP(Table257519913140106110151155170178204213[[#This Row],[PEG]],Table1016[#All],2,FALSE)</f>
        <v>#N/A</v>
      </c>
      <c r="D36" s="113"/>
      <c r="E36" s="122" t="e">
        <f>VLOOKUP(Table257519913140106110151155170178204213[[#This Row],[PEG]],Table1016[#All],3,FALSE)</f>
        <v>#N/A</v>
      </c>
    </row>
    <row r="37" spans="1:5">
      <c r="A37" s="114">
        <v>30</v>
      </c>
      <c r="B37" s="110" t="s">
        <v>12</v>
      </c>
      <c r="C37" s="105" t="e">
        <f>VLOOKUP(Table257519913140106110151155170178204213[[#This Row],[PEG]],Table1016[#All],2,FALSE)</f>
        <v>#N/A</v>
      </c>
      <c r="D37" s="113"/>
      <c r="E37" s="122" t="e">
        <f>VLOOKUP(Table257519913140106110151155170178204213[[#This Row],[PEG]],Table1016[#All],3,FALSE)</f>
        <v>#N/A</v>
      </c>
    </row>
    <row r="38" spans="1:5">
      <c r="A38" s="114">
        <v>31</v>
      </c>
      <c r="B38" s="110" t="s">
        <v>12</v>
      </c>
      <c r="C38" s="105" t="e">
        <f>VLOOKUP(Table257519913140106110151155170178204213[[#This Row],[PEG]],Table1016[#All],2,FALSE)</f>
        <v>#N/A</v>
      </c>
      <c r="D38" s="113"/>
      <c r="E38" s="122" t="e">
        <f>VLOOKUP(Table257519913140106110151155170178204213[[#This Row],[PEG]],Table1016[#All],3,FALSE)</f>
        <v>#N/A</v>
      </c>
    </row>
    <row r="39" spans="1:5">
      <c r="A39" s="114">
        <v>32</v>
      </c>
      <c r="B39" s="110" t="s">
        <v>12</v>
      </c>
      <c r="C39" s="105" t="e">
        <f>VLOOKUP(Table257519913140106110151155170178204213[[#This Row],[PEG]],Table1016[#All],2,FALSE)</f>
        <v>#N/A</v>
      </c>
      <c r="D39" s="113"/>
      <c r="E39" s="122" t="e">
        <f>VLOOKUP(Table257519913140106110151155170178204213[[#This Row],[PEG]],Table1016[#All],3,FALSE)</f>
        <v>#N/A</v>
      </c>
    </row>
    <row r="40" spans="1:5">
      <c r="A40" s="114">
        <v>33</v>
      </c>
      <c r="B40" s="110" t="s">
        <v>12</v>
      </c>
      <c r="C40" s="105" t="e">
        <f>VLOOKUP(Table257519913140106110151155170178204213[[#This Row],[PEG]],Table1016[#All],2,FALSE)</f>
        <v>#N/A</v>
      </c>
      <c r="D40" s="113"/>
      <c r="E40" s="122" t="e">
        <f>VLOOKUP(Table257519913140106110151155170178204213[[#This Row],[PEG]],Table1016[#All],3,FALSE)</f>
        <v>#N/A</v>
      </c>
    </row>
    <row r="41" spans="1:5">
      <c r="A41" s="114">
        <v>34</v>
      </c>
      <c r="B41" s="110" t="s">
        <v>115</v>
      </c>
      <c r="C41" s="105" t="e">
        <f>VLOOKUP(Table257519913140106110151155170178204213[[#This Row],[PEG]],Table1016[#All],2,FALSE)</f>
        <v>#N/A</v>
      </c>
      <c r="D41" s="113"/>
      <c r="E41" s="122" t="e">
        <f>VLOOKUP(Table257519913140106110151155170178204213[[#This Row],[PEG]],Table1016[#All],3,FALSE)</f>
        <v>#N/A</v>
      </c>
    </row>
    <row r="42" spans="1:5">
      <c r="A42" s="114">
        <v>35</v>
      </c>
      <c r="B42" s="110" t="s">
        <v>12</v>
      </c>
      <c r="C42" s="105" t="e">
        <f>VLOOKUP(Table257519913140106110151155170178204213[[#This Row],[PEG]],Table1016[#All],2,FALSE)</f>
        <v>#N/A</v>
      </c>
      <c r="D42" s="111"/>
      <c r="E42" s="122" t="e">
        <f>VLOOKUP(Table257519913140106110151155170178204213[[#This Row],[PEG]],Table1016[#All],3,FALSE)</f>
        <v>#N/A</v>
      </c>
    </row>
    <row r="43" spans="1:5">
      <c r="A43" s="114">
        <v>36</v>
      </c>
      <c r="B43" s="110" t="s">
        <v>115</v>
      </c>
      <c r="C43" s="105" t="e">
        <f>VLOOKUP(Table257519913140106110151155170178204213[[#This Row],[PEG]],Table1016[#All],2,FALSE)</f>
        <v>#N/A</v>
      </c>
      <c r="D43" s="111"/>
      <c r="E43" s="122" t="e">
        <f>VLOOKUP(Table257519913140106110151155170178204213[[#This Row],[PEG]],Table1016[#All],3,FALSE)</f>
        <v>#N/A</v>
      </c>
    </row>
    <row r="44" spans="1:5">
      <c r="A44" s="114">
        <v>37</v>
      </c>
      <c r="B44" s="110" t="s">
        <v>13</v>
      </c>
      <c r="C44" s="17" t="s">
        <v>13</v>
      </c>
      <c r="D44" s="111"/>
      <c r="E44" s="31"/>
    </row>
  </sheetData>
  <mergeCells count="1">
    <mergeCell ref="A1:B1"/>
  </mergeCells>
  <conditionalFormatting sqref="B8:B18">
    <cfRule type="containsText" dxfId="1203" priority="1" operator="containsText" text="Hear">
      <formula>NOT(ISERROR(SEARCH("Hear",B8)))</formula>
    </cfRule>
  </conditionalFormatting>
  <conditionalFormatting sqref="B30">
    <cfRule type="containsText" dxfId="1202" priority="4" operator="containsText" text="Hear">
      <formula>NOT(ISERROR(SEARCH("Hear",B30)))</formula>
    </cfRule>
  </conditionalFormatting>
  <conditionalFormatting sqref="B43:B44">
    <cfRule type="containsText" dxfId="1201" priority="8" operator="containsText" text="Hear">
      <formula>NOT(ISERROR(SEARCH("Hear",B43)))</formula>
    </cfRule>
  </conditionalFormatting>
  <conditionalFormatting sqref="E44">
    <cfRule type="containsText" dxfId="1200" priority="6" operator="containsText" text="WEB SERVICE">
      <formula>NOT(ISERROR(SEARCH("WEB SERVICE",E44)))</formula>
    </cfRule>
    <cfRule type="containsText" dxfId="1199" priority="7" operator="containsText" text="DB">
      <formula>NOT(ISERROR(SEARCH("DB",E44)))</formula>
    </cfRule>
  </conditionalFormatting>
  <conditionalFormatting sqref="C44">
    <cfRule type="expression" dxfId="1198" priority="9">
      <formula>$B44="Dial"</formula>
    </cfRule>
  </conditionalFormatting>
  <conditionalFormatting sqref="C44">
    <cfRule type="expression" dxfId="1197" priority="3">
      <formula>$B44="Speak"</formula>
    </cfRule>
  </conditionalFormatting>
  <conditionalFormatting sqref="B19:B29 B31:B35 B42">
    <cfRule type="containsText" dxfId="1196" priority="5" operator="containsText" text="Hear">
      <formula>NOT(ISERROR(SEARCH("Hear",B19)))</formula>
    </cfRule>
  </conditionalFormatting>
  <hyperlinks>
    <hyperlink ref="A1" location="'Test Case Overview'!A1" display="Return to Test Case Overview" xr:uid="{00000000-0004-0000-98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89C0BA24-516E-403B-B8B6-56F8F6E72B80}">
            <xm:f>'TC1'!$B8="HANGUP"</xm:f>
            <x14:dxf>
              <font>
                <b/>
                <i val="0"/>
              </font>
            </x14:dxf>
          </x14:cfRule>
          <xm:sqref>C8</xm:sqref>
        </x14:conditionalFormatting>
        <x14:conditionalFormatting xmlns:xm="http://schemas.microsoft.com/office/excel/2006/main">
          <x14:cfRule type="expression" priority="3257" id="{89C0BA24-516E-403B-B8B6-56F8F6E72B80}">
            <xm:f>'TC1'!$B14="HANGUP"</xm:f>
            <x14:dxf>
              <font>
                <b/>
                <i val="0"/>
              </font>
            </x14:dxf>
          </x14:cfRule>
          <xm:sqref>C34:C43</xm:sqref>
        </x14:conditionalFormatting>
        <x14:conditionalFormatting xmlns:xm="http://schemas.microsoft.com/office/excel/2006/main">
          <x14:cfRule type="expression" priority="3258" id="{89C0BA24-516E-403B-B8B6-56F8F6E72B80}">
            <xm:f>'TC1'!#REF!="HANGUP"</xm:f>
            <x14:dxf>
              <font>
                <b/>
                <i val="0"/>
              </font>
            </x14:dxf>
          </x14:cfRule>
          <xm:sqref>C13:C33</xm:sqref>
        </x14:conditionalFormatting>
        <x14:conditionalFormatting xmlns:xm="http://schemas.microsoft.com/office/excel/2006/main">
          <x14:cfRule type="expression" priority="4555" id="{89C0BA24-516E-403B-B8B6-56F8F6E72B80}">
            <xm:f>'TC1'!$B10="HANGUP"</xm:f>
            <x14:dxf>
              <font>
                <b/>
                <i val="0"/>
              </font>
            </x14:dxf>
          </x14:cfRule>
          <xm:sqref>C9:C12</xm:sqref>
        </x14:conditionalFormatting>
      </x14:conditionalFormattings>
    </ext>
  </extLst>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sheetPr codeName="Sheet155"/>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TC153</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VLOOKUP(Table257519913140106110151155170178204215[[#This Row],[PEG]],Table1016[#All],2,FALSE)</f>
        <v>#N/A</v>
      </c>
      <c r="D9" s="125"/>
      <c r="E9" s="122" t="e">
        <f>VLOOKUP(Table257519913140106110151155170178204215[[#This Row],[PEG]],Table1016[#All],3,FALSE)</f>
        <v>#N/A</v>
      </c>
    </row>
    <row r="10" spans="1:5">
      <c r="A10" s="114">
        <v>3</v>
      </c>
      <c r="B10" s="110" t="s">
        <v>115</v>
      </c>
      <c r="C10" s="105" t="e">
        <f>VLOOKUP(Table257519913140106110151155170178204215[[#This Row],[PEG]],Table1016[#All],2,FALSE)</f>
        <v>#N/A</v>
      </c>
      <c r="D10" s="125"/>
      <c r="E10" s="122" t="e">
        <f>VLOOKUP(Table257519913140106110151155170178204215[[#This Row],[PEG]],Table1016[#All],3,FALSE)</f>
        <v>#N/A</v>
      </c>
    </row>
    <row r="11" spans="1:5">
      <c r="A11" s="114">
        <v>4</v>
      </c>
      <c r="B11" s="110" t="s">
        <v>115</v>
      </c>
      <c r="C11" s="105" t="e">
        <f>VLOOKUP(Table257519913140106110151155170178204215[[#This Row],[PEG]],Table1016[#All],2,FALSE)</f>
        <v>#N/A</v>
      </c>
      <c r="D11" s="125"/>
      <c r="E11" s="122" t="e">
        <f>VLOOKUP(Table257519913140106110151155170178204215[[#This Row],[PEG]],Table1016[#All],3,FALSE)</f>
        <v>#N/A</v>
      </c>
    </row>
    <row r="12" spans="1:5">
      <c r="A12" s="114">
        <v>5</v>
      </c>
      <c r="B12" s="110" t="s">
        <v>114</v>
      </c>
      <c r="C12" s="105" t="e">
        <f>VLOOKUP(Table257519913140106110151155170178204215[[#This Row],[PEG]],Table1016[#All],2,FALSE)</f>
        <v>#N/A</v>
      </c>
      <c r="D12" s="125"/>
      <c r="E12" s="122" t="e">
        <f>VLOOKUP(Table257519913140106110151155170178204215[[#This Row],[PEG]],Table1016[#All],3,FALSE)</f>
        <v>#N/A</v>
      </c>
    </row>
    <row r="13" spans="1:5">
      <c r="A13" s="114">
        <v>6</v>
      </c>
      <c r="B13" s="110" t="s">
        <v>115</v>
      </c>
      <c r="C13" s="105" t="e">
        <f>VLOOKUP(Table257519913140106110151155170178204215[[#This Row],[PEG]],Table1016[#All],2,FALSE)</f>
        <v>#N/A</v>
      </c>
      <c r="D13" s="125"/>
      <c r="E13" s="122" t="e">
        <f>VLOOKUP(Table257519913140106110151155170178204215[[#This Row],[PEG]],Table1016[#All],3,FALSE)</f>
        <v>#N/A</v>
      </c>
    </row>
    <row r="14" spans="1:5">
      <c r="A14" s="114">
        <v>7</v>
      </c>
      <c r="B14" s="110" t="s">
        <v>114</v>
      </c>
      <c r="C14" s="105" t="e">
        <f>VLOOKUP(Table257519913140106110151155170178204215[[#This Row],[PEG]],Table1016[#All],2,FALSE)</f>
        <v>#N/A</v>
      </c>
      <c r="D14" s="125"/>
      <c r="E14" s="122" t="e">
        <f>VLOOKUP(Table257519913140106110151155170178204215[[#This Row],[PEG]],Table1016[#All],3,FALSE)</f>
        <v>#N/A</v>
      </c>
    </row>
    <row r="15" spans="1:5">
      <c r="A15" s="114">
        <v>8</v>
      </c>
      <c r="B15" s="110" t="s">
        <v>115</v>
      </c>
      <c r="C15" s="105" t="e">
        <f>VLOOKUP(Table257519913140106110151155170178204215[[#This Row],[PEG]],Table1016[#All],2,FALSE)</f>
        <v>#N/A</v>
      </c>
      <c r="D15" s="112"/>
      <c r="E15" s="122" t="e">
        <f>VLOOKUP(Table257519913140106110151155170178204215[[#This Row],[PEG]],Table1016[#All],3,FALSE)</f>
        <v>#N/A</v>
      </c>
    </row>
    <row r="16" spans="1:5">
      <c r="A16" s="114">
        <v>9</v>
      </c>
      <c r="B16" s="110" t="s">
        <v>12</v>
      </c>
      <c r="C16" s="105" t="e">
        <f>VLOOKUP(Table257519913140106110151155170178204215[[#This Row],[PEG]],Table1016[#All],2,FALSE)</f>
        <v>#N/A</v>
      </c>
      <c r="D16" s="112"/>
      <c r="E16" s="122" t="e">
        <f>VLOOKUP(Table257519913140106110151155170178204215[[#This Row],[PEG]],Table1016[#All],3,FALSE)</f>
        <v>#N/A</v>
      </c>
    </row>
    <row r="17" spans="1:5">
      <c r="A17" s="114">
        <v>10</v>
      </c>
      <c r="B17" s="110" t="s">
        <v>12</v>
      </c>
      <c r="C17" s="105" t="e">
        <f>VLOOKUP(Table257519913140106110151155170178204215[[#This Row],[PEG]],Table1016[#All],2,FALSE)</f>
        <v>#N/A</v>
      </c>
      <c r="D17" s="113"/>
      <c r="E17" s="122" t="e">
        <f>VLOOKUP(Table257519913140106110151155170178204215[[#This Row],[PEG]],Table1016[#All],3,FALSE)</f>
        <v>#N/A</v>
      </c>
    </row>
    <row r="18" spans="1:5">
      <c r="A18" s="114">
        <v>11</v>
      </c>
      <c r="B18" s="110" t="s">
        <v>115</v>
      </c>
      <c r="C18" s="105" t="e">
        <f>VLOOKUP(Table257519913140106110151155170178204215[[#This Row],[PEG]],Table1016[#All],2,FALSE)</f>
        <v>#N/A</v>
      </c>
      <c r="D18" s="113"/>
      <c r="E18" s="122" t="e">
        <f>VLOOKUP(Table257519913140106110151155170178204215[[#This Row],[PEG]],Table1016[#All],3,FALSE)</f>
        <v>#N/A</v>
      </c>
    </row>
    <row r="19" spans="1:5">
      <c r="A19" s="114">
        <v>12</v>
      </c>
      <c r="B19" s="110" t="s">
        <v>115</v>
      </c>
      <c r="C19" s="105" t="e">
        <f>VLOOKUP(Table257519913140106110151155170178204215[[#This Row],[PEG]],Table1016[#All],2,FALSE)</f>
        <v>#N/A</v>
      </c>
      <c r="D19" s="113"/>
      <c r="E19" s="122" t="e">
        <f>VLOOKUP(Table257519913140106110151155170178204215[[#This Row],[PEG]],Table1016[#All],3,FALSE)</f>
        <v>#N/A</v>
      </c>
    </row>
    <row r="20" spans="1:5">
      <c r="A20" s="114">
        <v>13</v>
      </c>
      <c r="B20" s="110" t="s">
        <v>114</v>
      </c>
      <c r="C20" s="105" t="e">
        <f>VLOOKUP(Table257519913140106110151155170178204215[[#This Row],[PEG]],Table1016[#All],2,FALSE)</f>
        <v>#N/A</v>
      </c>
      <c r="D20" s="113"/>
      <c r="E20" s="122" t="e">
        <f>VLOOKUP(Table257519913140106110151155170178204215[[#This Row],[PEG]],Table1016[#All],3,FALSE)</f>
        <v>#N/A</v>
      </c>
    </row>
    <row r="21" spans="1:5">
      <c r="A21" s="114">
        <v>14</v>
      </c>
      <c r="B21" s="110" t="s">
        <v>12</v>
      </c>
      <c r="C21" s="105" t="e">
        <f>VLOOKUP(Table257519913140106110151155170178204215[[#This Row],[PEG]],Table1016[#All],2,FALSE)</f>
        <v>#N/A</v>
      </c>
      <c r="D21" s="113"/>
      <c r="E21" s="122" t="e">
        <f>VLOOKUP(Table257519913140106110151155170178204215[[#This Row],[PEG]],Table1016[#All],3,FALSE)</f>
        <v>#N/A</v>
      </c>
    </row>
    <row r="22" spans="1:5">
      <c r="A22" s="114">
        <v>15</v>
      </c>
      <c r="B22" s="110" t="s">
        <v>12</v>
      </c>
      <c r="C22" s="105" t="e">
        <f>VLOOKUP(Table257519913140106110151155170178204215[[#This Row],[PEG]],Table1016[#All],2,FALSE)</f>
        <v>#N/A</v>
      </c>
      <c r="D22" s="113"/>
      <c r="E22" s="122" t="e">
        <f>VLOOKUP(Table257519913140106110151155170178204215[[#This Row],[PEG]],Table1016[#All],3,FALSE)</f>
        <v>#N/A</v>
      </c>
    </row>
    <row r="23" spans="1:5">
      <c r="A23" s="114">
        <v>16</v>
      </c>
      <c r="B23" s="110" t="s">
        <v>115</v>
      </c>
      <c r="C23" s="105" t="e">
        <f>VLOOKUP(Table257519913140106110151155170178204215[[#This Row],[PEG]],Table1016[#All],2,FALSE)</f>
        <v>#N/A</v>
      </c>
      <c r="D23" s="113"/>
      <c r="E23" s="122" t="e">
        <f>VLOOKUP(Table257519913140106110151155170178204215[[#This Row],[PEG]],Table1016[#All],3,FALSE)</f>
        <v>#N/A</v>
      </c>
    </row>
    <row r="24" spans="1:5">
      <c r="A24" s="114">
        <v>17</v>
      </c>
      <c r="B24" s="110" t="s">
        <v>114</v>
      </c>
      <c r="C24" s="105" t="e">
        <f>VLOOKUP(Table257519913140106110151155170178204215[[#This Row],[PEG]],Table1016[#All],2,FALSE)</f>
        <v>#N/A</v>
      </c>
      <c r="D24" s="113"/>
      <c r="E24" s="122" t="e">
        <f>VLOOKUP(Table257519913140106110151155170178204215[[#This Row],[PEG]],Table1016[#All],3,FALSE)</f>
        <v>#N/A</v>
      </c>
    </row>
    <row r="25" spans="1:5">
      <c r="A25" s="114">
        <v>18</v>
      </c>
      <c r="B25" s="110" t="s">
        <v>12</v>
      </c>
      <c r="C25" s="105" t="e">
        <f>VLOOKUP(Table257519913140106110151155170178204215[[#This Row],[PEG]],Table1016[#All],2,FALSE)</f>
        <v>#N/A</v>
      </c>
      <c r="D25" s="113"/>
      <c r="E25" s="122" t="e">
        <f>VLOOKUP(Table257519913140106110151155170178204215[[#This Row],[PEG]],Table1016[#All],3,FALSE)</f>
        <v>#N/A</v>
      </c>
    </row>
    <row r="26" spans="1:5">
      <c r="A26" s="114">
        <v>19</v>
      </c>
      <c r="B26" s="110" t="s">
        <v>12</v>
      </c>
      <c r="C26" s="105" t="e">
        <f>VLOOKUP(Table257519913140106110151155170178204215[[#This Row],[PEG]],Table1016[#All],2,FALSE)</f>
        <v>#N/A</v>
      </c>
      <c r="D26" s="113"/>
      <c r="E26" s="122" t="e">
        <f>VLOOKUP(Table257519913140106110151155170178204215[[#This Row],[PEG]],Table1016[#All],3,FALSE)</f>
        <v>#N/A</v>
      </c>
    </row>
    <row r="27" spans="1:5">
      <c r="A27" s="114">
        <v>20</v>
      </c>
      <c r="B27" s="110" t="s">
        <v>115</v>
      </c>
      <c r="C27" s="105" t="e">
        <f>VLOOKUP(Table257519913140106110151155170178204215[[#This Row],[PEG]],Table1016[#All],2,FALSE)</f>
        <v>#N/A</v>
      </c>
      <c r="D27" s="113"/>
      <c r="E27" s="122" t="e">
        <f>VLOOKUP(Table257519913140106110151155170178204215[[#This Row],[PEG]],Table1016[#All],3,FALSE)</f>
        <v>#N/A</v>
      </c>
    </row>
    <row r="28" spans="1:5">
      <c r="A28" s="114">
        <v>21</v>
      </c>
      <c r="B28" s="110" t="s">
        <v>114</v>
      </c>
      <c r="C28" s="105" t="e">
        <f>VLOOKUP(Table257519913140106110151155170178204215[[#This Row],[PEG]],Table1016[#All],2,FALSE)</f>
        <v>#N/A</v>
      </c>
      <c r="D28" s="113"/>
      <c r="E28" s="122" t="e">
        <f>VLOOKUP(Table257519913140106110151155170178204215[[#This Row],[PEG]],Table1016[#All],3,FALSE)</f>
        <v>#N/A</v>
      </c>
    </row>
    <row r="29" spans="1:5">
      <c r="A29" s="114">
        <v>22</v>
      </c>
      <c r="B29" s="110" t="s">
        <v>12</v>
      </c>
      <c r="C29" s="105" t="e">
        <f>VLOOKUP(Table257519913140106110151155170178204215[[#This Row],[PEG]],Table1016[#All],2,FALSE)</f>
        <v>#N/A</v>
      </c>
      <c r="D29" s="113"/>
      <c r="E29" s="122" t="e">
        <f>VLOOKUP(Table257519913140106110151155170178204215[[#This Row],[PEG]],Table1016[#All],3,FALSE)</f>
        <v>#N/A</v>
      </c>
    </row>
    <row r="30" spans="1:5">
      <c r="A30" s="114">
        <v>23</v>
      </c>
      <c r="B30" s="110" t="s">
        <v>12</v>
      </c>
      <c r="C30" s="105" t="e">
        <f>VLOOKUP(Table257519913140106110151155170178204215[[#This Row],[PEG]],Table1016[#All],2,FALSE)</f>
        <v>#N/A</v>
      </c>
      <c r="D30" s="113"/>
      <c r="E30" s="122" t="e">
        <f>VLOOKUP(Table257519913140106110151155170178204215[[#This Row],[PEG]],Table1016[#All],3,FALSE)</f>
        <v>#N/A</v>
      </c>
    </row>
    <row r="31" spans="1:5">
      <c r="A31" s="114">
        <v>24</v>
      </c>
      <c r="B31" s="110" t="s">
        <v>115</v>
      </c>
      <c r="C31" s="105" t="e">
        <f>VLOOKUP(Table257519913140106110151155170178204215[[#This Row],[PEG]],Table1016[#All],2,FALSE)</f>
        <v>#N/A</v>
      </c>
      <c r="D31" s="113"/>
      <c r="E31" s="122" t="e">
        <f>VLOOKUP(Table257519913140106110151155170178204215[[#This Row],[PEG]],Table1016[#All],3,FALSE)</f>
        <v>#N/A</v>
      </c>
    </row>
    <row r="32" spans="1:5">
      <c r="A32" s="114">
        <v>25</v>
      </c>
      <c r="B32" s="110" t="s">
        <v>115</v>
      </c>
      <c r="C32" s="105" t="e">
        <f>VLOOKUP(Table257519913140106110151155170178204215[[#This Row],[PEG]],Table1016[#All],2,FALSE)</f>
        <v>#N/A</v>
      </c>
      <c r="D32" s="113"/>
      <c r="E32" s="122" t="e">
        <f>VLOOKUP(Table257519913140106110151155170178204215[[#This Row],[PEG]],Table1016[#All],3,FALSE)</f>
        <v>#N/A</v>
      </c>
    </row>
    <row r="33" spans="1:5">
      <c r="A33" s="114">
        <v>26</v>
      </c>
      <c r="B33" s="110" t="s">
        <v>124</v>
      </c>
      <c r="C33" s="105" t="e">
        <f>VLOOKUP(Table257519913140106110151155170178204215[[#This Row],[PEG]],Table1016[#All],2,FALSE)</f>
        <v>#N/A</v>
      </c>
      <c r="D33" s="113"/>
      <c r="E33" s="122" t="e">
        <f>VLOOKUP(Table257519913140106110151155170178204215[[#This Row],[PEG]],Table1016[#All],3,FALSE)</f>
        <v>#N/A</v>
      </c>
    </row>
    <row r="34" spans="1:5">
      <c r="A34" s="114">
        <v>27</v>
      </c>
      <c r="B34" s="110" t="s">
        <v>115</v>
      </c>
      <c r="C34" s="105" t="e">
        <f>VLOOKUP(Table257519913140106110151155170178204215[[#This Row],[PEG]],Table1016[#All],2,FALSE)</f>
        <v>#N/A</v>
      </c>
      <c r="D34" s="113"/>
      <c r="E34" s="122" t="e">
        <f>VLOOKUP(Table257519913140106110151155170178204215[[#This Row],[PEG]],Table1016[#All],3,FALSE)</f>
        <v>#N/A</v>
      </c>
    </row>
    <row r="35" spans="1:5">
      <c r="A35" s="114">
        <v>28</v>
      </c>
      <c r="B35" s="110" t="s">
        <v>124</v>
      </c>
      <c r="C35" s="105" t="e">
        <f>VLOOKUP(Table257519913140106110151155170178204215[[#This Row],[PEG]],Table1016[#All],2,FALSE)</f>
        <v>#N/A</v>
      </c>
      <c r="D35" s="113"/>
      <c r="E35" s="122" t="e">
        <f>VLOOKUP(Table257519913140106110151155170178204215[[#This Row],[PEG]],Table1016[#All],3,FALSE)</f>
        <v>#N/A</v>
      </c>
    </row>
    <row r="36" spans="1:5">
      <c r="A36" s="114">
        <v>29</v>
      </c>
      <c r="B36" s="110" t="s">
        <v>115</v>
      </c>
      <c r="C36" s="105" t="e">
        <f>VLOOKUP(Table257519913140106110151155170178204215[[#This Row],[PEG]],Table1016[#All],2,FALSE)</f>
        <v>#N/A</v>
      </c>
      <c r="D36" s="113"/>
      <c r="E36" s="122" t="e">
        <f>VLOOKUP(Table257519913140106110151155170178204215[[#This Row],[PEG]],Table1016[#All],3,FALSE)</f>
        <v>#N/A</v>
      </c>
    </row>
    <row r="37" spans="1:5">
      <c r="A37" s="114">
        <v>30</v>
      </c>
      <c r="B37" s="110" t="s">
        <v>12</v>
      </c>
      <c r="C37" s="105" t="e">
        <f>VLOOKUP(Table257519913140106110151155170178204215[[#This Row],[PEG]],Table1016[#All],2,FALSE)</f>
        <v>#N/A</v>
      </c>
      <c r="D37" s="113"/>
      <c r="E37" s="122" t="e">
        <f>VLOOKUP(Table257519913140106110151155170178204215[[#This Row],[PEG]],Table1016[#All],3,FALSE)</f>
        <v>#N/A</v>
      </c>
    </row>
    <row r="38" spans="1:5">
      <c r="A38" s="114">
        <v>31</v>
      </c>
      <c r="B38" s="110" t="s">
        <v>12</v>
      </c>
      <c r="C38" s="105" t="e">
        <f>VLOOKUP(Table257519913140106110151155170178204215[[#This Row],[PEG]],Table1016[#All],2,FALSE)</f>
        <v>#N/A</v>
      </c>
      <c r="D38" s="113"/>
      <c r="E38" s="122" t="e">
        <f>VLOOKUP(Table257519913140106110151155170178204215[[#This Row],[PEG]],Table1016[#All],3,FALSE)</f>
        <v>#N/A</v>
      </c>
    </row>
    <row r="39" spans="1:5">
      <c r="A39" s="114">
        <v>32</v>
      </c>
      <c r="B39" s="110" t="s">
        <v>12</v>
      </c>
      <c r="C39" s="105" t="e">
        <f>VLOOKUP(Table257519913140106110151155170178204215[[#This Row],[PEG]],Table1016[#All],2,FALSE)</f>
        <v>#N/A</v>
      </c>
      <c r="D39" s="113"/>
      <c r="E39" s="122" t="e">
        <f>VLOOKUP(Table257519913140106110151155170178204215[[#This Row],[PEG]],Table1016[#All],3,FALSE)</f>
        <v>#N/A</v>
      </c>
    </row>
    <row r="40" spans="1:5">
      <c r="A40" s="114">
        <v>33</v>
      </c>
      <c r="B40" s="110" t="s">
        <v>12</v>
      </c>
      <c r="C40" s="105" t="e">
        <f>VLOOKUP(Table257519913140106110151155170178204215[[#This Row],[PEG]],Table1016[#All],2,FALSE)</f>
        <v>#N/A</v>
      </c>
      <c r="D40" s="113"/>
      <c r="E40" s="122" t="e">
        <f>VLOOKUP(Table257519913140106110151155170178204215[[#This Row],[PEG]],Table1016[#All],3,FALSE)</f>
        <v>#N/A</v>
      </c>
    </row>
    <row r="41" spans="1:5">
      <c r="A41" s="114">
        <v>34</v>
      </c>
      <c r="B41" s="110" t="s">
        <v>115</v>
      </c>
      <c r="C41" s="105" t="e">
        <f>VLOOKUP(Table257519913140106110151155170178204215[[#This Row],[PEG]],Table1016[#All],2,FALSE)</f>
        <v>#N/A</v>
      </c>
      <c r="D41" s="113"/>
      <c r="E41" s="122" t="e">
        <f>VLOOKUP(Table257519913140106110151155170178204215[[#This Row],[PEG]],Table1016[#All],3,FALSE)</f>
        <v>#N/A</v>
      </c>
    </row>
    <row r="42" spans="1:5">
      <c r="A42" s="114">
        <v>35</v>
      </c>
      <c r="B42" s="110" t="s">
        <v>12</v>
      </c>
      <c r="C42" s="105" t="e">
        <f>VLOOKUP(Table257519913140106110151155170178204215[[#This Row],[PEG]],Table1016[#All],2,FALSE)</f>
        <v>#N/A</v>
      </c>
      <c r="D42" s="111"/>
      <c r="E42" s="122" t="e">
        <f>VLOOKUP(Table257519913140106110151155170178204215[[#This Row],[PEG]],Table1016[#All],3,FALSE)</f>
        <v>#N/A</v>
      </c>
    </row>
    <row r="43" spans="1:5">
      <c r="A43" s="114">
        <v>36</v>
      </c>
      <c r="B43" s="110" t="s">
        <v>115</v>
      </c>
      <c r="C43" s="105" t="e">
        <f>VLOOKUP(Table257519913140106110151155170178204215[[#This Row],[PEG]],Table1016[#All],2,FALSE)</f>
        <v>#N/A</v>
      </c>
      <c r="D43" s="111"/>
      <c r="E43" s="122" t="e">
        <f>VLOOKUP(Table257519913140106110151155170178204215[[#This Row],[PEG]],Table1016[#All],3,FALSE)</f>
        <v>#N/A</v>
      </c>
    </row>
    <row r="44" spans="1:5">
      <c r="A44" s="114">
        <v>37</v>
      </c>
      <c r="B44" s="110" t="s">
        <v>13</v>
      </c>
      <c r="C44" s="17" t="s">
        <v>13</v>
      </c>
      <c r="D44" s="111"/>
      <c r="E44" s="31"/>
    </row>
  </sheetData>
  <mergeCells count="1">
    <mergeCell ref="A1:B1"/>
  </mergeCells>
  <conditionalFormatting sqref="B8:B18">
    <cfRule type="containsText" dxfId="1182" priority="1" operator="containsText" text="Hear">
      <formula>NOT(ISERROR(SEARCH("Hear",B8)))</formula>
    </cfRule>
  </conditionalFormatting>
  <conditionalFormatting sqref="B30">
    <cfRule type="containsText" dxfId="1181" priority="4" operator="containsText" text="Hear">
      <formula>NOT(ISERROR(SEARCH("Hear",B30)))</formula>
    </cfRule>
  </conditionalFormatting>
  <conditionalFormatting sqref="B43:B44">
    <cfRule type="containsText" dxfId="1180" priority="8" operator="containsText" text="Hear">
      <formula>NOT(ISERROR(SEARCH("Hear",B43)))</formula>
    </cfRule>
  </conditionalFormatting>
  <conditionalFormatting sqref="E44">
    <cfRule type="containsText" dxfId="1179" priority="6" operator="containsText" text="WEB SERVICE">
      <formula>NOT(ISERROR(SEARCH("WEB SERVICE",E44)))</formula>
    </cfRule>
    <cfRule type="containsText" dxfId="1178" priority="7" operator="containsText" text="DB">
      <formula>NOT(ISERROR(SEARCH("DB",E44)))</formula>
    </cfRule>
  </conditionalFormatting>
  <conditionalFormatting sqref="C44">
    <cfRule type="expression" dxfId="1177" priority="9">
      <formula>$B44="Dial"</formula>
    </cfRule>
  </conditionalFormatting>
  <conditionalFormatting sqref="C44">
    <cfRule type="expression" dxfId="1176" priority="3">
      <formula>$B44="Speak"</formula>
    </cfRule>
  </conditionalFormatting>
  <conditionalFormatting sqref="B19:B29 B31:B35 B42">
    <cfRule type="containsText" dxfId="1175" priority="5" operator="containsText" text="Hear">
      <formula>NOT(ISERROR(SEARCH("Hear",B19)))</formula>
    </cfRule>
  </conditionalFormatting>
  <hyperlinks>
    <hyperlink ref="A1" location="'Test Case Overview'!A1" display="Return to Test Case Overview" xr:uid="{00000000-0004-0000-99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8B4D7F4C-515F-4F86-92CB-B0EC1C4BFF07}">
            <xm:f>'TC1'!$B8="HANGUP"</xm:f>
            <x14:dxf>
              <font>
                <b/>
                <i val="0"/>
              </font>
            </x14:dxf>
          </x14:cfRule>
          <xm:sqref>C8</xm:sqref>
        </x14:conditionalFormatting>
        <x14:conditionalFormatting xmlns:xm="http://schemas.microsoft.com/office/excel/2006/main">
          <x14:cfRule type="expression" priority="3261" id="{8B4D7F4C-515F-4F86-92CB-B0EC1C4BFF07}">
            <xm:f>'TC1'!$B14="HANGUP"</xm:f>
            <x14:dxf>
              <font>
                <b/>
                <i val="0"/>
              </font>
            </x14:dxf>
          </x14:cfRule>
          <xm:sqref>C34:C43</xm:sqref>
        </x14:conditionalFormatting>
        <x14:conditionalFormatting xmlns:xm="http://schemas.microsoft.com/office/excel/2006/main">
          <x14:cfRule type="expression" priority="3262" id="{8B4D7F4C-515F-4F86-92CB-B0EC1C4BFF07}">
            <xm:f>'TC1'!#REF!="HANGUP"</xm:f>
            <x14:dxf>
              <font>
                <b/>
                <i val="0"/>
              </font>
            </x14:dxf>
          </x14:cfRule>
          <xm:sqref>C13:C33</xm:sqref>
        </x14:conditionalFormatting>
        <x14:conditionalFormatting xmlns:xm="http://schemas.microsoft.com/office/excel/2006/main">
          <x14:cfRule type="expression" priority="4557" id="{8B4D7F4C-515F-4F86-92CB-B0EC1C4BFF07}">
            <xm:f>'TC1'!$B10="HANGUP"</xm:f>
            <x14:dxf>
              <font>
                <b/>
                <i val="0"/>
              </font>
            </x14:dxf>
          </x14:cfRule>
          <xm:sqref>C9:C12</xm:sqref>
        </x14:conditionalFormatting>
      </x14:conditionalFormattings>
    </ext>
  </extLst>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sheetPr codeName="Sheet156"/>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TC154</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VLOOKUP(Table257519913140106110151155170178204217[[#This Row],[PEG]],Table1016[#All],2,FALSE)</f>
        <v>#N/A</v>
      </c>
      <c r="D9" s="125"/>
      <c r="E9" s="122" t="e">
        <f>VLOOKUP(Table257519913140106110151155170178204217[[#This Row],[PEG]],Table1016[#All],3,FALSE)</f>
        <v>#N/A</v>
      </c>
    </row>
    <row r="10" spans="1:5">
      <c r="A10" s="114">
        <v>3</v>
      </c>
      <c r="B10" s="110" t="s">
        <v>115</v>
      </c>
      <c r="C10" s="105" t="e">
        <f>VLOOKUP(Table257519913140106110151155170178204217[[#This Row],[PEG]],Table1016[#All],2,FALSE)</f>
        <v>#N/A</v>
      </c>
      <c r="D10" s="125"/>
      <c r="E10" s="122" t="e">
        <f>VLOOKUP(Table257519913140106110151155170178204217[[#This Row],[PEG]],Table1016[#All],3,FALSE)</f>
        <v>#N/A</v>
      </c>
    </row>
    <row r="11" spans="1:5">
      <c r="A11" s="114">
        <v>4</v>
      </c>
      <c r="B11" s="110" t="s">
        <v>115</v>
      </c>
      <c r="C11" s="105" t="e">
        <f>VLOOKUP(Table257519913140106110151155170178204217[[#This Row],[PEG]],Table1016[#All],2,FALSE)</f>
        <v>#N/A</v>
      </c>
      <c r="D11" s="125"/>
      <c r="E11" s="122" t="e">
        <f>VLOOKUP(Table257519913140106110151155170178204217[[#This Row],[PEG]],Table1016[#All],3,FALSE)</f>
        <v>#N/A</v>
      </c>
    </row>
    <row r="12" spans="1:5">
      <c r="A12" s="114">
        <v>5</v>
      </c>
      <c r="B12" s="110" t="s">
        <v>114</v>
      </c>
      <c r="C12" s="105" t="e">
        <f>VLOOKUP(Table257519913140106110151155170178204217[[#This Row],[PEG]],Table1016[#All],2,FALSE)</f>
        <v>#N/A</v>
      </c>
      <c r="D12" s="125"/>
      <c r="E12" s="122" t="e">
        <f>VLOOKUP(Table257519913140106110151155170178204217[[#This Row],[PEG]],Table1016[#All],3,FALSE)</f>
        <v>#N/A</v>
      </c>
    </row>
    <row r="13" spans="1:5">
      <c r="A13" s="114">
        <v>6</v>
      </c>
      <c r="B13" s="110" t="s">
        <v>115</v>
      </c>
      <c r="C13" s="105" t="e">
        <f>VLOOKUP(Table257519913140106110151155170178204217[[#This Row],[PEG]],Table1016[#All],2,FALSE)</f>
        <v>#N/A</v>
      </c>
      <c r="D13" s="125"/>
      <c r="E13" s="122" t="e">
        <f>VLOOKUP(Table257519913140106110151155170178204217[[#This Row],[PEG]],Table1016[#All],3,FALSE)</f>
        <v>#N/A</v>
      </c>
    </row>
    <row r="14" spans="1:5">
      <c r="A14" s="114">
        <v>7</v>
      </c>
      <c r="B14" s="110" t="s">
        <v>114</v>
      </c>
      <c r="C14" s="105" t="e">
        <f>VLOOKUP(Table257519913140106110151155170178204217[[#This Row],[PEG]],Table1016[#All],2,FALSE)</f>
        <v>#N/A</v>
      </c>
      <c r="D14" s="125"/>
      <c r="E14" s="122" t="e">
        <f>VLOOKUP(Table257519913140106110151155170178204217[[#This Row],[PEG]],Table1016[#All],3,FALSE)</f>
        <v>#N/A</v>
      </c>
    </row>
    <row r="15" spans="1:5">
      <c r="A15" s="114">
        <v>8</v>
      </c>
      <c r="B15" s="110" t="s">
        <v>115</v>
      </c>
      <c r="C15" s="105" t="e">
        <f>VLOOKUP(Table257519913140106110151155170178204217[[#This Row],[PEG]],Table1016[#All],2,FALSE)</f>
        <v>#N/A</v>
      </c>
      <c r="D15" s="112"/>
      <c r="E15" s="122" t="e">
        <f>VLOOKUP(Table257519913140106110151155170178204217[[#This Row],[PEG]],Table1016[#All],3,FALSE)</f>
        <v>#N/A</v>
      </c>
    </row>
    <row r="16" spans="1:5">
      <c r="A16" s="114">
        <v>9</v>
      </c>
      <c r="B16" s="110" t="s">
        <v>12</v>
      </c>
      <c r="C16" s="105" t="e">
        <f>VLOOKUP(Table257519913140106110151155170178204217[[#This Row],[PEG]],Table1016[#All],2,FALSE)</f>
        <v>#N/A</v>
      </c>
      <c r="D16" s="112"/>
      <c r="E16" s="122" t="e">
        <f>VLOOKUP(Table257519913140106110151155170178204217[[#This Row],[PEG]],Table1016[#All],3,FALSE)</f>
        <v>#N/A</v>
      </c>
    </row>
    <row r="17" spans="1:5">
      <c r="A17" s="114">
        <v>10</v>
      </c>
      <c r="B17" s="110" t="s">
        <v>12</v>
      </c>
      <c r="C17" s="105" t="e">
        <f>VLOOKUP(Table257519913140106110151155170178204217[[#This Row],[PEG]],Table1016[#All],2,FALSE)</f>
        <v>#N/A</v>
      </c>
      <c r="D17" s="113"/>
      <c r="E17" s="122" t="e">
        <f>VLOOKUP(Table257519913140106110151155170178204217[[#This Row],[PEG]],Table1016[#All],3,FALSE)</f>
        <v>#N/A</v>
      </c>
    </row>
    <row r="18" spans="1:5">
      <c r="A18" s="114">
        <v>11</v>
      </c>
      <c r="B18" s="110" t="s">
        <v>115</v>
      </c>
      <c r="C18" s="105" t="e">
        <f>VLOOKUP(Table257519913140106110151155170178204217[[#This Row],[PEG]],Table1016[#All],2,FALSE)</f>
        <v>#N/A</v>
      </c>
      <c r="D18" s="113"/>
      <c r="E18" s="122" t="e">
        <f>VLOOKUP(Table257519913140106110151155170178204217[[#This Row],[PEG]],Table1016[#All],3,FALSE)</f>
        <v>#N/A</v>
      </c>
    </row>
    <row r="19" spans="1:5">
      <c r="A19" s="114">
        <v>12</v>
      </c>
      <c r="B19" s="110" t="s">
        <v>115</v>
      </c>
      <c r="C19" s="105" t="e">
        <f>VLOOKUP(Table257519913140106110151155170178204217[[#This Row],[PEG]],Table1016[#All],2,FALSE)</f>
        <v>#N/A</v>
      </c>
      <c r="D19" s="113"/>
      <c r="E19" s="122" t="e">
        <f>VLOOKUP(Table257519913140106110151155170178204217[[#This Row],[PEG]],Table1016[#All],3,FALSE)</f>
        <v>#N/A</v>
      </c>
    </row>
    <row r="20" spans="1:5">
      <c r="A20" s="114">
        <v>13</v>
      </c>
      <c r="B20" s="110" t="s">
        <v>114</v>
      </c>
      <c r="C20" s="105" t="e">
        <f>VLOOKUP(Table257519913140106110151155170178204217[[#This Row],[PEG]],Table1016[#All],2,FALSE)</f>
        <v>#N/A</v>
      </c>
      <c r="D20" s="113"/>
      <c r="E20" s="122" t="e">
        <f>VLOOKUP(Table257519913140106110151155170178204217[[#This Row],[PEG]],Table1016[#All],3,FALSE)</f>
        <v>#N/A</v>
      </c>
    </row>
    <row r="21" spans="1:5">
      <c r="A21" s="114">
        <v>14</v>
      </c>
      <c r="B21" s="110" t="s">
        <v>12</v>
      </c>
      <c r="C21" s="105" t="e">
        <f>VLOOKUP(Table257519913140106110151155170178204217[[#This Row],[PEG]],Table1016[#All],2,FALSE)</f>
        <v>#N/A</v>
      </c>
      <c r="D21" s="113"/>
      <c r="E21" s="122" t="e">
        <f>VLOOKUP(Table257519913140106110151155170178204217[[#This Row],[PEG]],Table1016[#All],3,FALSE)</f>
        <v>#N/A</v>
      </c>
    </row>
    <row r="22" spans="1:5">
      <c r="A22" s="114">
        <v>15</v>
      </c>
      <c r="B22" s="110" t="s">
        <v>12</v>
      </c>
      <c r="C22" s="105" t="e">
        <f>VLOOKUP(Table257519913140106110151155170178204217[[#This Row],[PEG]],Table1016[#All],2,FALSE)</f>
        <v>#N/A</v>
      </c>
      <c r="D22" s="113"/>
      <c r="E22" s="122" t="e">
        <f>VLOOKUP(Table257519913140106110151155170178204217[[#This Row],[PEG]],Table1016[#All],3,FALSE)</f>
        <v>#N/A</v>
      </c>
    </row>
    <row r="23" spans="1:5">
      <c r="A23" s="114">
        <v>16</v>
      </c>
      <c r="B23" s="110" t="s">
        <v>115</v>
      </c>
      <c r="C23" s="105" t="e">
        <f>VLOOKUP(Table257519913140106110151155170178204217[[#This Row],[PEG]],Table1016[#All],2,FALSE)</f>
        <v>#N/A</v>
      </c>
      <c r="D23" s="113"/>
      <c r="E23" s="122" t="e">
        <f>VLOOKUP(Table257519913140106110151155170178204217[[#This Row],[PEG]],Table1016[#All],3,FALSE)</f>
        <v>#N/A</v>
      </c>
    </row>
    <row r="24" spans="1:5">
      <c r="A24" s="114">
        <v>17</v>
      </c>
      <c r="B24" s="110" t="s">
        <v>114</v>
      </c>
      <c r="C24" s="105" t="e">
        <f>VLOOKUP(Table257519913140106110151155170178204217[[#This Row],[PEG]],Table1016[#All],2,FALSE)</f>
        <v>#N/A</v>
      </c>
      <c r="D24" s="113"/>
      <c r="E24" s="122" t="e">
        <f>VLOOKUP(Table257519913140106110151155170178204217[[#This Row],[PEG]],Table1016[#All],3,FALSE)</f>
        <v>#N/A</v>
      </c>
    </row>
    <row r="25" spans="1:5">
      <c r="A25" s="114">
        <v>18</v>
      </c>
      <c r="B25" s="110" t="s">
        <v>12</v>
      </c>
      <c r="C25" s="105" t="e">
        <f>VLOOKUP(Table257519913140106110151155170178204217[[#This Row],[PEG]],Table1016[#All],2,FALSE)</f>
        <v>#N/A</v>
      </c>
      <c r="D25" s="113"/>
      <c r="E25" s="122" t="e">
        <f>VLOOKUP(Table257519913140106110151155170178204217[[#This Row],[PEG]],Table1016[#All],3,FALSE)</f>
        <v>#N/A</v>
      </c>
    </row>
    <row r="26" spans="1:5">
      <c r="A26" s="114">
        <v>19</v>
      </c>
      <c r="B26" s="110" t="s">
        <v>12</v>
      </c>
      <c r="C26" s="105" t="e">
        <f>VLOOKUP(Table257519913140106110151155170178204217[[#This Row],[PEG]],Table1016[#All],2,FALSE)</f>
        <v>#N/A</v>
      </c>
      <c r="D26" s="113"/>
      <c r="E26" s="122" t="e">
        <f>VLOOKUP(Table257519913140106110151155170178204217[[#This Row],[PEG]],Table1016[#All],3,FALSE)</f>
        <v>#N/A</v>
      </c>
    </row>
    <row r="27" spans="1:5">
      <c r="A27" s="114">
        <v>20</v>
      </c>
      <c r="B27" s="110" t="s">
        <v>115</v>
      </c>
      <c r="C27" s="105" t="e">
        <f>VLOOKUP(Table257519913140106110151155170178204217[[#This Row],[PEG]],Table1016[#All],2,FALSE)</f>
        <v>#N/A</v>
      </c>
      <c r="D27" s="113"/>
      <c r="E27" s="122" t="e">
        <f>VLOOKUP(Table257519913140106110151155170178204217[[#This Row],[PEG]],Table1016[#All],3,FALSE)</f>
        <v>#N/A</v>
      </c>
    </row>
    <row r="28" spans="1:5">
      <c r="A28" s="114">
        <v>21</v>
      </c>
      <c r="B28" s="110" t="s">
        <v>114</v>
      </c>
      <c r="C28" s="105" t="e">
        <f>VLOOKUP(Table257519913140106110151155170178204217[[#This Row],[PEG]],Table1016[#All],2,FALSE)</f>
        <v>#N/A</v>
      </c>
      <c r="D28" s="113"/>
      <c r="E28" s="122" t="e">
        <f>VLOOKUP(Table257519913140106110151155170178204217[[#This Row],[PEG]],Table1016[#All],3,FALSE)</f>
        <v>#N/A</v>
      </c>
    </row>
    <row r="29" spans="1:5">
      <c r="A29" s="114">
        <v>22</v>
      </c>
      <c r="B29" s="110" t="s">
        <v>12</v>
      </c>
      <c r="C29" s="105" t="e">
        <f>VLOOKUP(Table257519913140106110151155170178204217[[#This Row],[PEG]],Table1016[#All],2,FALSE)</f>
        <v>#N/A</v>
      </c>
      <c r="D29" s="113"/>
      <c r="E29" s="122" t="e">
        <f>VLOOKUP(Table257519913140106110151155170178204217[[#This Row],[PEG]],Table1016[#All],3,FALSE)</f>
        <v>#N/A</v>
      </c>
    </row>
    <row r="30" spans="1:5">
      <c r="A30" s="114">
        <v>23</v>
      </c>
      <c r="B30" s="110" t="s">
        <v>12</v>
      </c>
      <c r="C30" s="105" t="e">
        <f>VLOOKUP(Table257519913140106110151155170178204217[[#This Row],[PEG]],Table1016[#All],2,FALSE)</f>
        <v>#N/A</v>
      </c>
      <c r="D30" s="113"/>
      <c r="E30" s="122" t="e">
        <f>VLOOKUP(Table257519913140106110151155170178204217[[#This Row],[PEG]],Table1016[#All],3,FALSE)</f>
        <v>#N/A</v>
      </c>
    </row>
    <row r="31" spans="1:5">
      <c r="A31" s="114">
        <v>24</v>
      </c>
      <c r="B31" s="110" t="s">
        <v>115</v>
      </c>
      <c r="C31" s="105" t="e">
        <f>VLOOKUP(Table257519913140106110151155170178204217[[#This Row],[PEG]],Table1016[#All],2,FALSE)</f>
        <v>#N/A</v>
      </c>
      <c r="D31" s="113"/>
      <c r="E31" s="122" t="e">
        <f>VLOOKUP(Table257519913140106110151155170178204217[[#This Row],[PEG]],Table1016[#All],3,FALSE)</f>
        <v>#N/A</v>
      </c>
    </row>
    <row r="32" spans="1:5">
      <c r="A32" s="114">
        <v>25</v>
      </c>
      <c r="B32" s="110" t="s">
        <v>115</v>
      </c>
      <c r="C32" s="105" t="e">
        <f>VLOOKUP(Table257519913140106110151155170178204217[[#This Row],[PEG]],Table1016[#All],2,FALSE)</f>
        <v>#N/A</v>
      </c>
      <c r="D32" s="113"/>
      <c r="E32" s="122" t="e">
        <f>VLOOKUP(Table257519913140106110151155170178204217[[#This Row],[PEG]],Table1016[#All],3,FALSE)</f>
        <v>#N/A</v>
      </c>
    </row>
    <row r="33" spans="1:5">
      <c r="A33" s="114">
        <v>26</v>
      </c>
      <c r="B33" s="110" t="s">
        <v>124</v>
      </c>
      <c r="C33" s="105" t="e">
        <f>VLOOKUP(Table257519913140106110151155170178204217[[#This Row],[PEG]],Table1016[#All],2,FALSE)</f>
        <v>#N/A</v>
      </c>
      <c r="D33" s="113"/>
      <c r="E33" s="122" t="e">
        <f>VLOOKUP(Table257519913140106110151155170178204217[[#This Row],[PEG]],Table1016[#All],3,FALSE)</f>
        <v>#N/A</v>
      </c>
    </row>
    <row r="34" spans="1:5">
      <c r="A34" s="114">
        <v>27</v>
      </c>
      <c r="B34" s="110" t="s">
        <v>115</v>
      </c>
      <c r="C34" s="105" t="e">
        <f>VLOOKUP(Table257519913140106110151155170178204217[[#This Row],[PEG]],Table1016[#All],2,FALSE)</f>
        <v>#N/A</v>
      </c>
      <c r="D34" s="113"/>
      <c r="E34" s="122" t="e">
        <f>VLOOKUP(Table257519913140106110151155170178204217[[#This Row],[PEG]],Table1016[#All],3,FALSE)</f>
        <v>#N/A</v>
      </c>
    </row>
    <row r="35" spans="1:5">
      <c r="A35" s="114">
        <v>28</v>
      </c>
      <c r="B35" s="110" t="s">
        <v>124</v>
      </c>
      <c r="C35" s="105" t="e">
        <f>VLOOKUP(Table257519913140106110151155170178204217[[#This Row],[PEG]],Table1016[#All],2,FALSE)</f>
        <v>#N/A</v>
      </c>
      <c r="D35" s="113"/>
      <c r="E35" s="122" t="e">
        <f>VLOOKUP(Table257519913140106110151155170178204217[[#This Row],[PEG]],Table1016[#All],3,FALSE)</f>
        <v>#N/A</v>
      </c>
    </row>
    <row r="36" spans="1:5">
      <c r="A36" s="114">
        <v>29</v>
      </c>
      <c r="B36" s="110" t="s">
        <v>115</v>
      </c>
      <c r="C36" s="105" t="e">
        <f>VLOOKUP(Table257519913140106110151155170178204217[[#This Row],[PEG]],Table1016[#All],2,FALSE)</f>
        <v>#N/A</v>
      </c>
      <c r="D36" s="113"/>
      <c r="E36" s="122" t="e">
        <f>VLOOKUP(Table257519913140106110151155170178204217[[#This Row],[PEG]],Table1016[#All],3,FALSE)</f>
        <v>#N/A</v>
      </c>
    </row>
    <row r="37" spans="1:5">
      <c r="A37" s="114">
        <v>30</v>
      </c>
      <c r="B37" s="110" t="s">
        <v>12</v>
      </c>
      <c r="C37" s="105" t="e">
        <f>VLOOKUP(Table257519913140106110151155170178204217[[#This Row],[PEG]],Table1016[#All],2,FALSE)</f>
        <v>#N/A</v>
      </c>
      <c r="D37" s="113"/>
      <c r="E37" s="122" t="e">
        <f>VLOOKUP(Table257519913140106110151155170178204217[[#This Row],[PEG]],Table1016[#All],3,FALSE)</f>
        <v>#N/A</v>
      </c>
    </row>
    <row r="38" spans="1:5">
      <c r="A38" s="114">
        <v>31</v>
      </c>
      <c r="B38" s="110" t="s">
        <v>12</v>
      </c>
      <c r="C38" s="105" t="e">
        <f>VLOOKUP(Table257519913140106110151155170178204217[[#This Row],[PEG]],Table1016[#All],2,FALSE)</f>
        <v>#N/A</v>
      </c>
      <c r="D38" s="113"/>
      <c r="E38" s="122" t="e">
        <f>VLOOKUP(Table257519913140106110151155170178204217[[#This Row],[PEG]],Table1016[#All],3,FALSE)</f>
        <v>#N/A</v>
      </c>
    </row>
    <row r="39" spans="1:5">
      <c r="A39" s="114">
        <v>32</v>
      </c>
      <c r="B39" s="110" t="s">
        <v>12</v>
      </c>
      <c r="C39" s="105" t="e">
        <f>VLOOKUP(Table257519913140106110151155170178204217[[#This Row],[PEG]],Table1016[#All],2,FALSE)</f>
        <v>#N/A</v>
      </c>
      <c r="D39" s="113"/>
      <c r="E39" s="122" t="e">
        <f>VLOOKUP(Table257519913140106110151155170178204217[[#This Row],[PEG]],Table1016[#All],3,FALSE)</f>
        <v>#N/A</v>
      </c>
    </row>
    <row r="40" spans="1:5">
      <c r="A40" s="114">
        <v>33</v>
      </c>
      <c r="B40" s="110" t="s">
        <v>12</v>
      </c>
      <c r="C40" s="105" t="e">
        <f>VLOOKUP(Table257519913140106110151155170178204217[[#This Row],[PEG]],Table1016[#All],2,FALSE)</f>
        <v>#N/A</v>
      </c>
      <c r="D40" s="113"/>
      <c r="E40" s="122" t="e">
        <f>VLOOKUP(Table257519913140106110151155170178204217[[#This Row],[PEG]],Table1016[#All],3,FALSE)</f>
        <v>#N/A</v>
      </c>
    </row>
    <row r="41" spans="1:5">
      <c r="A41" s="114">
        <v>34</v>
      </c>
      <c r="B41" s="110" t="s">
        <v>115</v>
      </c>
      <c r="C41" s="105" t="e">
        <f>VLOOKUP(Table257519913140106110151155170178204217[[#This Row],[PEG]],Table1016[#All],2,FALSE)</f>
        <v>#N/A</v>
      </c>
      <c r="D41" s="113"/>
      <c r="E41" s="122" t="e">
        <f>VLOOKUP(Table257519913140106110151155170178204217[[#This Row],[PEG]],Table1016[#All],3,FALSE)</f>
        <v>#N/A</v>
      </c>
    </row>
    <row r="42" spans="1:5">
      <c r="A42" s="114">
        <v>35</v>
      </c>
      <c r="B42" s="110" t="s">
        <v>12</v>
      </c>
      <c r="C42" s="105" t="e">
        <f>VLOOKUP(Table257519913140106110151155170178204217[[#This Row],[PEG]],Table1016[#All],2,FALSE)</f>
        <v>#N/A</v>
      </c>
      <c r="D42" s="111"/>
      <c r="E42" s="122" t="e">
        <f>VLOOKUP(Table257519913140106110151155170178204217[[#This Row],[PEG]],Table1016[#All],3,FALSE)</f>
        <v>#N/A</v>
      </c>
    </row>
    <row r="43" spans="1:5">
      <c r="A43" s="114">
        <v>36</v>
      </c>
      <c r="B43" s="110" t="s">
        <v>115</v>
      </c>
      <c r="C43" s="105" t="e">
        <f>VLOOKUP(Table257519913140106110151155170178204217[[#This Row],[PEG]],Table1016[#All],2,FALSE)</f>
        <v>#N/A</v>
      </c>
      <c r="D43" s="111"/>
      <c r="E43" s="122" t="e">
        <f>VLOOKUP(Table257519913140106110151155170178204217[[#This Row],[PEG]],Table1016[#All],3,FALSE)</f>
        <v>#N/A</v>
      </c>
    </row>
    <row r="44" spans="1:5">
      <c r="A44" s="114">
        <v>37</v>
      </c>
      <c r="B44" s="110" t="s">
        <v>13</v>
      </c>
      <c r="C44" s="17" t="s">
        <v>13</v>
      </c>
      <c r="D44" s="111"/>
      <c r="E44" s="31"/>
    </row>
  </sheetData>
  <mergeCells count="1">
    <mergeCell ref="A1:B1"/>
  </mergeCells>
  <conditionalFormatting sqref="B8:B18">
    <cfRule type="containsText" dxfId="1161" priority="1" operator="containsText" text="Hear">
      <formula>NOT(ISERROR(SEARCH("Hear",B8)))</formula>
    </cfRule>
  </conditionalFormatting>
  <conditionalFormatting sqref="B30">
    <cfRule type="containsText" dxfId="1160" priority="4" operator="containsText" text="Hear">
      <formula>NOT(ISERROR(SEARCH("Hear",B30)))</formula>
    </cfRule>
  </conditionalFormatting>
  <conditionalFormatting sqref="B43:B44">
    <cfRule type="containsText" dxfId="1159" priority="8" operator="containsText" text="Hear">
      <formula>NOT(ISERROR(SEARCH("Hear",B43)))</formula>
    </cfRule>
  </conditionalFormatting>
  <conditionalFormatting sqref="E44">
    <cfRule type="containsText" dxfId="1158" priority="6" operator="containsText" text="WEB SERVICE">
      <formula>NOT(ISERROR(SEARCH("WEB SERVICE",E44)))</formula>
    </cfRule>
    <cfRule type="containsText" dxfId="1157" priority="7" operator="containsText" text="DB">
      <formula>NOT(ISERROR(SEARCH("DB",E44)))</formula>
    </cfRule>
  </conditionalFormatting>
  <conditionalFormatting sqref="C44">
    <cfRule type="expression" dxfId="1156" priority="9">
      <formula>$B44="Dial"</formula>
    </cfRule>
  </conditionalFormatting>
  <conditionalFormatting sqref="C44">
    <cfRule type="expression" dxfId="1155" priority="3">
      <formula>$B44="Speak"</formula>
    </cfRule>
  </conditionalFormatting>
  <conditionalFormatting sqref="B19:B29 B31:B35 B42">
    <cfRule type="containsText" dxfId="1154" priority="5" operator="containsText" text="Hear">
      <formula>NOT(ISERROR(SEARCH("Hear",B19)))</formula>
    </cfRule>
  </conditionalFormatting>
  <hyperlinks>
    <hyperlink ref="A1" location="'Test Case Overview'!A1" display="Return to Test Case Overview" xr:uid="{00000000-0004-0000-9A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E974A96B-A18E-4A69-BFBD-641F3FCBC4AF}">
            <xm:f>'TC1'!$B8="HANGUP"</xm:f>
            <x14:dxf>
              <font>
                <b/>
                <i val="0"/>
              </font>
            </x14:dxf>
          </x14:cfRule>
          <xm:sqref>C8</xm:sqref>
        </x14:conditionalFormatting>
        <x14:conditionalFormatting xmlns:xm="http://schemas.microsoft.com/office/excel/2006/main">
          <x14:cfRule type="expression" priority="3265" id="{E974A96B-A18E-4A69-BFBD-641F3FCBC4AF}">
            <xm:f>'TC1'!$B14="HANGUP"</xm:f>
            <x14:dxf>
              <font>
                <b/>
                <i val="0"/>
              </font>
            </x14:dxf>
          </x14:cfRule>
          <xm:sqref>C34:C43</xm:sqref>
        </x14:conditionalFormatting>
        <x14:conditionalFormatting xmlns:xm="http://schemas.microsoft.com/office/excel/2006/main">
          <x14:cfRule type="expression" priority="3266" id="{E974A96B-A18E-4A69-BFBD-641F3FCBC4AF}">
            <xm:f>'TC1'!#REF!="HANGUP"</xm:f>
            <x14:dxf>
              <font>
                <b/>
                <i val="0"/>
              </font>
            </x14:dxf>
          </x14:cfRule>
          <xm:sqref>C13:C33</xm:sqref>
        </x14:conditionalFormatting>
        <x14:conditionalFormatting xmlns:xm="http://schemas.microsoft.com/office/excel/2006/main">
          <x14:cfRule type="expression" priority="4559" id="{E974A96B-A18E-4A69-BFBD-641F3FCBC4AF}">
            <xm:f>'TC1'!$B10="HANGUP"</xm:f>
            <x14:dxf>
              <font>
                <b/>
                <i val="0"/>
              </font>
            </x14:dxf>
          </x14:cfRule>
          <xm:sqref>C9:C12</xm:sqref>
        </x14:conditionalFormatting>
      </x14:conditionalFormattings>
    </ext>
  </extLst>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sheetPr codeName="Sheet157"/>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TC155</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VLOOKUP(Table257519913140106110151155170178204219[[#This Row],[PEG]],Table1016[#All],2,FALSE)</f>
        <v>#N/A</v>
      </c>
      <c r="D9" s="125"/>
      <c r="E9" s="122" t="e">
        <f>VLOOKUP(Table257519913140106110151155170178204219[[#This Row],[PEG]],Table1016[#All],3,FALSE)</f>
        <v>#N/A</v>
      </c>
    </row>
    <row r="10" spans="1:5">
      <c r="A10" s="114">
        <v>3</v>
      </c>
      <c r="B10" s="110" t="s">
        <v>115</v>
      </c>
      <c r="C10" s="105" t="e">
        <f>VLOOKUP(Table257519913140106110151155170178204219[[#This Row],[PEG]],Table1016[#All],2,FALSE)</f>
        <v>#N/A</v>
      </c>
      <c r="D10" s="125"/>
      <c r="E10" s="122" t="e">
        <f>VLOOKUP(Table257519913140106110151155170178204219[[#This Row],[PEG]],Table1016[#All],3,FALSE)</f>
        <v>#N/A</v>
      </c>
    </row>
    <row r="11" spans="1:5">
      <c r="A11" s="114">
        <v>4</v>
      </c>
      <c r="B11" s="110" t="s">
        <v>115</v>
      </c>
      <c r="C11" s="105" t="e">
        <f>VLOOKUP(Table257519913140106110151155170178204219[[#This Row],[PEG]],Table1016[#All],2,FALSE)</f>
        <v>#N/A</v>
      </c>
      <c r="D11" s="125"/>
      <c r="E11" s="122" t="e">
        <f>VLOOKUP(Table257519913140106110151155170178204219[[#This Row],[PEG]],Table1016[#All],3,FALSE)</f>
        <v>#N/A</v>
      </c>
    </row>
    <row r="12" spans="1:5">
      <c r="A12" s="114">
        <v>5</v>
      </c>
      <c r="B12" s="110" t="s">
        <v>114</v>
      </c>
      <c r="C12" s="105" t="e">
        <f>VLOOKUP(Table257519913140106110151155170178204219[[#This Row],[PEG]],Table1016[#All],2,FALSE)</f>
        <v>#N/A</v>
      </c>
      <c r="D12" s="125"/>
      <c r="E12" s="122" t="e">
        <f>VLOOKUP(Table257519913140106110151155170178204219[[#This Row],[PEG]],Table1016[#All],3,FALSE)</f>
        <v>#N/A</v>
      </c>
    </row>
    <row r="13" spans="1:5">
      <c r="A13" s="114">
        <v>6</v>
      </c>
      <c r="B13" s="110" t="s">
        <v>115</v>
      </c>
      <c r="C13" s="105" t="e">
        <f>VLOOKUP(Table257519913140106110151155170178204219[[#This Row],[PEG]],Table1016[#All],2,FALSE)</f>
        <v>#N/A</v>
      </c>
      <c r="D13" s="125"/>
      <c r="E13" s="122" t="e">
        <f>VLOOKUP(Table257519913140106110151155170178204219[[#This Row],[PEG]],Table1016[#All],3,FALSE)</f>
        <v>#N/A</v>
      </c>
    </row>
    <row r="14" spans="1:5">
      <c r="A14" s="114">
        <v>7</v>
      </c>
      <c r="B14" s="110" t="s">
        <v>114</v>
      </c>
      <c r="C14" s="105" t="e">
        <f>VLOOKUP(Table257519913140106110151155170178204219[[#This Row],[PEG]],Table1016[#All],2,FALSE)</f>
        <v>#N/A</v>
      </c>
      <c r="D14" s="125"/>
      <c r="E14" s="122" t="e">
        <f>VLOOKUP(Table257519913140106110151155170178204219[[#This Row],[PEG]],Table1016[#All],3,FALSE)</f>
        <v>#N/A</v>
      </c>
    </row>
    <row r="15" spans="1:5">
      <c r="A15" s="114">
        <v>8</v>
      </c>
      <c r="B15" s="110" t="s">
        <v>115</v>
      </c>
      <c r="C15" s="105" t="e">
        <f>VLOOKUP(Table257519913140106110151155170178204219[[#This Row],[PEG]],Table1016[#All],2,FALSE)</f>
        <v>#N/A</v>
      </c>
      <c r="D15" s="112"/>
      <c r="E15" s="122" t="e">
        <f>VLOOKUP(Table257519913140106110151155170178204219[[#This Row],[PEG]],Table1016[#All],3,FALSE)</f>
        <v>#N/A</v>
      </c>
    </row>
    <row r="16" spans="1:5">
      <c r="A16" s="114">
        <v>9</v>
      </c>
      <c r="B16" s="110" t="s">
        <v>12</v>
      </c>
      <c r="C16" s="105" t="e">
        <f>VLOOKUP(Table257519913140106110151155170178204219[[#This Row],[PEG]],Table1016[#All],2,FALSE)</f>
        <v>#N/A</v>
      </c>
      <c r="D16" s="112"/>
      <c r="E16" s="122" t="e">
        <f>VLOOKUP(Table257519913140106110151155170178204219[[#This Row],[PEG]],Table1016[#All],3,FALSE)</f>
        <v>#N/A</v>
      </c>
    </row>
    <row r="17" spans="1:5">
      <c r="A17" s="114">
        <v>10</v>
      </c>
      <c r="B17" s="110" t="s">
        <v>12</v>
      </c>
      <c r="C17" s="105" t="e">
        <f>VLOOKUP(Table257519913140106110151155170178204219[[#This Row],[PEG]],Table1016[#All],2,FALSE)</f>
        <v>#N/A</v>
      </c>
      <c r="D17" s="113"/>
      <c r="E17" s="122" t="e">
        <f>VLOOKUP(Table257519913140106110151155170178204219[[#This Row],[PEG]],Table1016[#All],3,FALSE)</f>
        <v>#N/A</v>
      </c>
    </row>
    <row r="18" spans="1:5">
      <c r="A18" s="114">
        <v>11</v>
      </c>
      <c r="B18" s="110" t="s">
        <v>115</v>
      </c>
      <c r="C18" s="105" t="e">
        <f>VLOOKUP(Table257519913140106110151155170178204219[[#This Row],[PEG]],Table1016[#All],2,FALSE)</f>
        <v>#N/A</v>
      </c>
      <c r="D18" s="113"/>
      <c r="E18" s="122" t="e">
        <f>VLOOKUP(Table257519913140106110151155170178204219[[#This Row],[PEG]],Table1016[#All],3,FALSE)</f>
        <v>#N/A</v>
      </c>
    </row>
    <row r="19" spans="1:5">
      <c r="A19" s="114">
        <v>12</v>
      </c>
      <c r="B19" s="110" t="s">
        <v>115</v>
      </c>
      <c r="C19" s="105" t="e">
        <f>VLOOKUP(Table257519913140106110151155170178204219[[#This Row],[PEG]],Table1016[#All],2,FALSE)</f>
        <v>#N/A</v>
      </c>
      <c r="D19" s="113"/>
      <c r="E19" s="122" t="e">
        <f>VLOOKUP(Table257519913140106110151155170178204219[[#This Row],[PEG]],Table1016[#All],3,FALSE)</f>
        <v>#N/A</v>
      </c>
    </row>
    <row r="20" spans="1:5">
      <c r="A20" s="114">
        <v>13</v>
      </c>
      <c r="B20" s="110" t="s">
        <v>114</v>
      </c>
      <c r="C20" s="105" t="e">
        <f>VLOOKUP(Table257519913140106110151155170178204219[[#This Row],[PEG]],Table1016[#All],2,FALSE)</f>
        <v>#N/A</v>
      </c>
      <c r="D20" s="113"/>
      <c r="E20" s="122" t="e">
        <f>VLOOKUP(Table257519913140106110151155170178204219[[#This Row],[PEG]],Table1016[#All],3,FALSE)</f>
        <v>#N/A</v>
      </c>
    </row>
    <row r="21" spans="1:5">
      <c r="A21" s="114">
        <v>14</v>
      </c>
      <c r="B21" s="110" t="s">
        <v>12</v>
      </c>
      <c r="C21" s="105" t="e">
        <f>VLOOKUP(Table257519913140106110151155170178204219[[#This Row],[PEG]],Table1016[#All],2,FALSE)</f>
        <v>#N/A</v>
      </c>
      <c r="D21" s="113"/>
      <c r="E21" s="122" t="e">
        <f>VLOOKUP(Table257519913140106110151155170178204219[[#This Row],[PEG]],Table1016[#All],3,FALSE)</f>
        <v>#N/A</v>
      </c>
    </row>
    <row r="22" spans="1:5">
      <c r="A22" s="114">
        <v>15</v>
      </c>
      <c r="B22" s="110" t="s">
        <v>12</v>
      </c>
      <c r="C22" s="105" t="e">
        <f>VLOOKUP(Table257519913140106110151155170178204219[[#This Row],[PEG]],Table1016[#All],2,FALSE)</f>
        <v>#N/A</v>
      </c>
      <c r="D22" s="113"/>
      <c r="E22" s="122" t="e">
        <f>VLOOKUP(Table257519913140106110151155170178204219[[#This Row],[PEG]],Table1016[#All],3,FALSE)</f>
        <v>#N/A</v>
      </c>
    </row>
    <row r="23" spans="1:5">
      <c r="A23" s="114">
        <v>16</v>
      </c>
      <c r="B23" s="110" t="s">
        <v>115</v>
      </c>
      <c r="C23" s="105" t="e">
        <f>VLOOKUP(Table257519913140106110151155170178204219[[#This Row],[PEG]],Table1016[#All],2,FALSE)</f>
        <v>#N/A</v>
      </c>
      <c r="D23" s="113"/>
      <c r="E23" s="122" t="e">
        <f>VLOOKUP(Table257519913140106110151155170178204219[[#This Row],[PEG]],Table1016[#All],3,FALSE)</f>
        <v>#N/A</v>
      </c>
    </row>
    <row r="24" spans="1:5">
      <c r="A24" s="114">
        <v>17</v>
      </c>
      <c r="B24" s="110" t="s">
        <v>114</v>
      </c>
      <c r="C24" s="105" t="e">
        <f>VLOOKUP(Table257519913140106110151155170178204219[[#This Row],[PEG]],Table1016[#All],2,FALSE)</f>
        <v>#N/A</v>
      </c>
      <c r="D24" s="113"/>
      <c r="E24" s="122" t="e">
        <f>VLOOKUP(Table257519913140106110151155170178204219[[#This Row],[PEG]],Table1016[#All],3,FALSE)</f>
        <v>#N/A</v>
      </c>
    </row>
    <row r="25" spans="1:5">
      <c r="A25" s="114">
        <v>18</v>
      </c>
      <c r="B25" s="110" t="s">
        <v>12</v>
      </c>
      <c r="C25" s="105" t="e">
        <f>VLOOKUP(Table257519913140106110151155170178204219[[#This Row],[PEG]],Table1016[#All],2,FALSE)</f>
        <v>#N/A</v>
      </c>
      <c r="D25" s="113"/>
      <c r="E25" s="122" t="e">
        <f>VLOOKUP(Table257519913140106110151155170178204219[[#This Row],[PEG]],Table1016[#All],3,FALSE)</f>
        <v>#N/A</v>
      </c>
    </row>
    <row r="26" spans="1:5">
      <c r="A26" s="114">
        <v>19</v>
      </c>
      <c r="B26" s="110" t="s">
        <v>12</v>
      </c>
      <c r="C26" s="105" t="e">
        <f>VLOOKUP(Table257519913140106110151155170178204219[[#This Row],[PEG]],Table1016[#All],2,FALSE)</f>
        <v>#N/A</v>
      </c>
      <c r="D26" s="113"/>
      <c r="E26" s="122" t="e">
        <f>VLOOKUP(Table257519913140106110151155170178204219[[#This Row],[PEG]],Table1016[#All],3,FALSE)</f>
        <v>#N/A</v>
      </c>
    </row>
    <row r="27" spans="1:5">
      <c r="A27" s="114">
        <v>20</v>
      </c>
      <c r="B27" s="110" t="s">
        <v>115</v>
      </c>
      <c r="C27" s="105" t="e">
        <f>VLOOKUP(Table257519913140106110151155170178204219[[#This Row],[PEG]],Table1016[#All],2,FALSE)</f>
        <v>#N/A</v>
      </c>
      <c r="D27" s="113"/>
      <c r="E27" s="122" t="e">
        <f>VLOOKUP(Table257519913140106110151155170178204219[[#This Row],[PEG]],Table1016[#All],3,FALSE)</f>
        <v>#N/A</v>
      </c>
    </row>
    <row r="28" spans="1:5">
      <c r="A28" s="114">
        <v>21</v>
      </c>
      <c r="B28" s="110" t="s">
        <v>114</v>
      </c>
      <c r="C28" s="105" t="e">
        <f>VLOOKUP(Table257519913140106110151155170178204219[[#This Row],[PEG]],Table1016[#All],2,FALSE)</f>
        <v>#N/A</v>
      </c>
      <c r="D28" s="113"/>
      <c r="E28" s="122" t="e">
        <f>VLOOKUP(Table257519913140106110151155170178204219[[#This Row],[PEG]],Table1016[#All],3,FALSE)</f>
        <v>#N/A</v>
      </c>
    </row>
    <row r="29" spans="1:5">
      <c r="A29" s="114">
        <v>22</v>
      </c>
      <c r="B29" s="110" t="s">
        <v>12</v>
      </c>
      <c r="C29" s="105" t="e">
        <f>VLOOKUP(Table257519913140106110151155170178204219[[#This Row],[PEG]],Table1016[#All],2,FALSE)</f>
        <v>#N/A</v>
      </c>
      <c r="D29" s="113"/>
      <c r="E29" s="122" t="e">
        <f>VLOOKUP(Table257519913140106110151155170178204219[[#This Row],[PEG]],Table1016[#All],3,FALSE)</f>
        <v>#N/A</v>
      </c>
    </row>
    <row r="30" spans="1:5">
      <c r="A30" s="114">
        <v>23</v>
      </c>
      <c r="B30" s="110" t="s">
        <v>12</v>
      </c>
      <c r="C30" s="105" t="e">
        <f>VLOOKUP(Table257519913140106110151155170178204219[[#This Row],[PEG]],Table1016[#All],2,FALSE)</f>
        <v>#N/A</v>
      </c>
      <c r="D30" s="113"/>
      <c r="E30" s="122" t="e">
        <f>VLOOKUP(Table257519913140106110151155170178204219[[#This Row],[PEG]],Table1016[#All],3,FALSE)</f>
        <v>#N/A</v>
      </c>
    </row>
    <row r="31" spans="1:5">
      <c r="A31" s="114">
        <v>24</v>
      </c>
      <c r="B31" s="110" t="s">
        <v>115</v>
      </c>
      <c r="C31" s="105" t="e">
        <f>VLOOKUP(Table257519913140106110151155170178204219[[#This Row],[PEG]],Table1016[#All],2,FALSE)</f>
        <v>#N/A</v>
      </c>
      <c r="D31" s="113"/>
      <c r="E31" s="122" t="e">
        <f>VLOOKUP(Table257519913140106110151155170178204219[[#This Row],[PEG]],Table1016[#All],3,FALSE)</f>
        <v>#N/A</v>
      </c>
    </row>
    <row r="32" spans="1:5">
      <c r="A32" s="114">
        <v>25</v>
      </c>
      <c r="B32" s="110" t="s">
        <v>115</v>
      </c>
      <c r="C32" s="105" t="e">
        <f>VLOOKUP(Table257519913140106110151155170178204219[[#This Row],[PEG]],Table1016[#All],2,FALSE)</f>
        <v>#N/A</v>
      </c>
      <c r="D32" s="113"/>
      <c r="E32" s="122" t="e">
        <f>VLOOKUP(Table257519913140106110151155170178204219[[#This Row],[PEG]],Table1016[#All],3,FALSE)</f>
        <v>#N/A</v>
      </c>
    </row>
    <row r="33" spans="1:5">
      <c r="A33" s="114">
        <v>26</v>
      </c>
      <c r="B33" s="110" t="s">
        <v>124</v>
      </c>
      <c r="C33" s="105" t="e">
        <f>VLOOKUP(Table257519913140106110151155170178204219[[#This Row],[PEG]],Table1016[#All],2,FALSE)</f>
        <v>#N/A</v>
      </c>
      <c r="D33" s="113"/>
      <c r="E33" s="122" t="e">
        <f>VLOOKUP(Table257519913140106110151155170178204219[[#This Row],[PEG]],Table1016[#All],3,FALSE)</f>
        <v>#N/A</v>
      </c>
    </row>
    <row r="34" spans="1:5">
      <c r="A34" s="114">
        <v>27</v>
      </c>
      <c r="B34" s="110" t="s">
        <v>115</v>
      </c>
      <c r="C34" s="105" t="e">
        <f>VLOOKUP(Table257519913140106110151155170178204219[[#This Row],[PEG]],Table1016[#All],2,FALSE)</f>
        <v>#N/A</v>
      </c>
      <c r="D34" s="113"/>
      <c r="E34" s="122" t="e">
        <f>VLOOKUP(Table257519913140106110151155170178204219[[#This Row],[PEG]],Table1016[#All],3,FALSE)</f>
        <v>#N/A</v>
      </c>
    </row>
    <row r="35" spans="1:5">
      <c r="A35" s="114">
        <v>28</v>
      </c>
      <c r="B35" s="110" t="s">
        <v>124</v>
      </c>
      <c r="C35" s="105" t="e">
        <f>VLOOKUP(Table257519913140106110151155170178204219[[#This Row],[PEG]],Table1016[#All],2,FALSE)</f>
        <v>#N/A</v>
      </c>
      <c r="D35" s="113"/>
      <c r="E35" s="122" t="e">
        <f>VLOOKUP(Table257519913140106110151155170178204219[[#This Row],[PEG]],Table1016[#All],3,FALSE)</f>
        <v>#N/A</v>
      </c>
    </row>
    <row r="36" spans="1:5">
      <c r="A36" s="114">
        <v>29</v>
      </c>
      <c r="B36" s="110" t="s">
        <v>115</v>
      </c>
      <c r="C36" s="105" t="e">
        <f>VLOOKUP(Table257519913140106110151155170178204219[[#This Row],[PEG]],Table1016[#All],2,FALSE)</f>
        <v>#N/A</v>
      </c>
      <c r="D36" s="113"/>
      <c r="E36" s="122" t="e">
        <f>VLOOKUP(Table257519913140106110151155170178204219[[#This Row],[PEG]],Table1016[#All],3,FALSE)</f>
        <v>#N/A</v>
      </c>
    </row>
    <row r="37" spans="1:5">
      <c r="A37" s="114">
        <v>30</v>
      </c>
      <c r="B37" s="110" t="s">
        <v>12</v>
      </c>
      <c r="C37" s="105" t="e">
        <f>VLOOKUP(Table257519913140106110151155170178204219[[#This Row],[PEG]],Table1016[#All],2,FALSE)</f>
        <v>#N/A</v>
      </c>
      <c r="D37" s="113"/>
      <c r="E37" s="122" t="e">
        <f>VLOOKUP(Table257519913140106110151155170178204219[[#This Row],[PEG]],Table1016[#All],3,FALSE)</f>
        <v>#N/A</v>
      </c>
    </row>
    <row r="38" spans="1:5">
      <c r="A38" s="114">
        <v>31</v>
      </c>
      <c r="B38" s="110" t="s">
        <v>12</v>
      </c>
      <c r="C38" s="105" t="e">
        <f>VLOOKUP(Table257519913140106110151155170178204219[[#This Row],[PEG]],Table1016[#All],2,FALSE)</f>
        <v>#N/A</v>
      </c>
      <c r="D38" s="113"/>
      <c r="E38" s="122" t="e">
        <f>VLOOKUP(Table257519913140106110151155170178204219[[#This Row],[PEG]],Table1016[#All],3,FALSE)</f>
        <v>#N/A</v>
      </c>
    </row>
    <row r="39" spans="1:5">
      <c r="A39" s="114">
        <v>32</v>
      </c>
      <c r="B39" s="110" t="s">
        <v>12</v>
      </c>
      <c r="C39" s="105" t="e">
        <f>VLOOKUP(Table257519913140106110151155170178204219[[#This Row],[PEG]],Table1016[#All],2,FALSE)</f>
        <v>#N/A</v>
      </c>
      <c r="D39" s="113"/>
      <c r="E39" s="122" t="e">
        <f>VLOOKUP(Table257519913140106110151155170178204219[[#This Row],[PEG]],Table1016[#All],3,FALSE)</f>
        <v>#N/A</v>
      </c>
    </row>
    <row r="40" spans="1:5">
      <c r="A40" s="114">
        <v>33</v>
      </c>
      <c r="B40" s="110" t="s">
        <v>12</v>
      </c>
      <c r="C40" s="105" t="e">
        <f>VLOOKUP(Table257519913140106110151155170178204219[[#This Row],[PEG]],Table1016[#All],2,FALSE)</f>
        <v>#N/A</v>
      </c>
      <c r="D40" s="113"/>
      <c r="E40" s="122" t="e">
        <f>VLOOKUP(Table257519913140106110151155170178204219[[#This Row],[PEG]],Table1016[#All],3,FALSE)</f>
        <v>#N/A</v>
      </c>
    </row>
    <row r="41" spans="1:5">
      <c r="A41" s="114">
        <v>34</v>
      </c>
      <c r="B41" s="110" t="s">
        <v>115</v>
      </c>
      <c r="C41" s="105" t="e">
        <f>VLOOKUP(Table257519913140106110151155170178204219[[#This Row],[PEG]],Table1016[#All],2,FALSE)</f>
        <v>#N/A</v>
      </c>
      <c r="D41" s="113"/>
      <c r="E41" s="122" t="e">
        <f>VLOOKUP(Table257519913140106110151155170178204219[[#This Row],[PEG]],Table1016[#All],3,FALSE)</f>
        <v>#N/A</v>
      </c>
    </row>
    <row r="42" spans="1:5">
      <c r="A42" s="114">
        <v>35</v>
      </c>
      <c r="B42" s="110" t="s">
        <v>12</v>
      </c>
      <c r="C42" s="105" t="e">
        <f>VLOOKUP(Table257519913140106110151155170178204219[[#This Row],[PEG]],Table1016[#All],2,FALSE)</f>
        <v>#N/A</v>
      </c>
      <c r="D42" s="111"/>
      <c r="E42" s="122" t="e">
        <f>VLOOKUP(Table257519913140106110151155170178204219[[#This Row],[PEG]],Table1016[#All],3,FALSE)</f>
        <v>#N/A</v>
      </c>
    </row>
    <row r="43" spans="1:5">
      <c r="A43" s="114">
        <v>36</v>
      </c>
      <c r="B43" s="110" t="s">
        <v>115</v>
      </c>
      <c r="C43" s="105" t="e">
        <f>VLOOKUP(Table257519913140106110151155170178204219[[#This Row],[PEG]],Table1016[#All],2,FALSE)</f>
        <v>#N/A</v>
      </c>
      <c r="D43" s="111"/>
      <c r="E43" s="122" t="e">
        <f>VLOOKUP(Table257519913140106110151155170178204219[[#This Row],[PEG]],Table1016[#All],3,FALSE)</f>
        <v>#N/A</v>
      </c>
    </row>
    <row r="44" spans="1:5">
      <c r="A44" s="114">
        <v>37</v>
      </c>
      <c r="B44" s="110" t="s">
        <v>13</v>
      </c>
      <c r="C44" s="17" t="s">
        <v>13</v>
      </c>
      <c r="D44" s="111"/>
      <c r="E44" s="31"/>
    </row>
  </sheetData>
  <mergeCells count="1">
    <mergeCell ref="A1:B1"/>
  </mergeCells>
  <conditionalFormatting sqref="B8:B18">
    <cfRule type="containsText" dxfId="1140" priority="1" operator="containsText" text="Hear">
      <formula>NOT(ISERROR(SEARCH("Hear",B8)))</formula>
    </cfRule>
  </conditionalFormatting>
  <conditionalFormatting sqref="B30">
    <cfRule type="containsText" dxfId="1139" priority="4" operator="containsText" text="Hear">
      <formula>NOT(ISERROR(SEARCH("Hear",B30)))</formula>
    </cfRule>
  </conditionalFormatting>
  <conditionalFormatting sqref="B43:B44">
    <cfRule type="containsText" dxfId="1138" priority="8" operator="containsText" text="Hear">
      <formula>NOT(ISERROR(SEARCH("Hear",B43)))</formula>
    </cfRule>
  </conditionalFormatting>
  <conditionalFormatting sqref="E44">
    <cfRule type="containsText" dxfId="1137" priority="6" operator="containsText" text="WEB SERVICE">
      <formula>NOT(ISERROR(SEARCH("WEB SERVICE",E44)))</formula>
    </cfRule>
    <cfRule type="containsText" dxfId="1136" priority="7" operator="containsText" text="DB">
      <formula>NOT(ISERROR(SEARCH("DB",E44)))</formula>
    </cfRule>
  </conditionalFormatting>
  <conditionalFormatting sqref="C44">
    <cfRule type="expression" dxfId="1135" priority="9">
      <formula>$B44="Dial"</formula>
    </cfRule>
  </conditionalFormatting>
  <conditionalFormatting sqref="C44">
    <cfRule type="expression" dxfId="1134" priority="3">
      <formula>$B44="Speak"</formula>
    </cfRule>
  </conditionalFormatting>
  <conditionalFormatting sqref="B19:B29 B31:B35 B42">
    <cfRule type="containsText" dxfId="1133" priority="5" operator="containsText" text="Hear">
      <formula>NOT(ISERROR(SEARCH("Hear",B19)))</formula>
    </cfRule>
  </conditionalFormatting>
  <hyperlinks>
    <hyperlink ref="A1" location="'Test Case Overview'!A1" display="Return to Test Case Overview" xr:uid="{00000000-0004-0000-9B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D834317A-A19C-49B1-AFDE-54D9B1421970}">
            <xm:f>'TC1'!$B8="HANGUP"</xm:f>
            <x14:dxf>
              <font>
                <b/>
                <i val="0"/>
              </font>
            </x14:dxf>
          </x14:cfRule>
          <xm:sqref>C8</xm:sqref>
        </x14:conditionalFormatting>
        <x14:conditionalFormatting xmlns:xm="http://schemas.microsoft.com/office/excel/2006/main">
          <x14:cfRule type="expression" priority="3269" id="{D834317A-A19C-49B1-AFDE-54D9B1421970}">
            <xm:f>'TC1'!$B14="HANGUP"</xm:f>
            <x14:dxf>
              <font>
                <b/>
                <i val="0"/>
              </font>
            </x14:dxf>
          </x14:cfRule>
          <xm:sqref>C34:C43</xm:sqref>
        </x14:conditionalFormatting>
        <x14:conditionalFormatting xmlns:xm="http://schemas.microsoft.com/office/excel/2006/main">
          <x14:cfRule type="expression" priority="3270" id="{D834317A-A19C-49B1-AFDE-54D9B1421970}">
            <xm:f>'TC1'!#REF!="HANGUP"</xm:f>
            <x14:dxf>
              <font>
                <b/>
                <i val="0"/>
              </font>
            </x14:dxf>
          </x14:cfRule>
          <xm:sqref>C13:C33</xm:sqref>
        </x14:conditionalFormatting>
        <x14:conditionalFormatting xmlns:xm="http://schemas.microsoft.com/office/excel/2006/main">
          <x14:cfRule type="expression" priority="4561" id="{D834317A-A19C-49B1-AFDE-54D9B1421970}">
            <xm:f>'TC1'!$B10="HANGUP"</xm:f>
            <x14:dxf>
              <font>
                <b/>
                <i val="0"/>
              </font>
            </x14:dxf>
          </x14:cfRule>
          <xm:sqref>C9:C12</xm:sqref>
        </x14:conditionalFormatting>
      </x14:conditionalFormattings>
    </ext>
  </extLst>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sheetPr codeName="Sheet158"/>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TC156</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VLOOKUP(Table257519913140106110151155170178204221[[#This Row],[PEG]],Table1016[#All],2,FALSE)</f>
        <v>#N/A</v>
      </c>
      <c r="D9" s="125"/>
      <c r="E9" s="122" t="e">
        <f>VLOOKUP(Table257519913140106110151155170178204221[[#This Row],[PEG]],Table1016[#All],3,FALSE)</f>
        <v>#N/A</v>
      </c>
    </row>
    <row r="10" spans="1:5">
      <c r="A10" s="114">
        <v>3</v>
      </c>
      <c r="B10" s="110" t="s">
        <v>115</v>
      </c>
      <c r="C10" s="105" t="e">
        <f>VLOOKUP(Table257519913140106110151155170178204221[[#This Row],[PEG]],Table1016[#All],2,FALSE)</f>
        <v>#N/A</v>
      </c>
      <c r="D10" s="125"/>
      <c r="E10" s="122" t="e">
        <f>VLOOKUP(Table257519913140106110151155170178204221[[#This Row],[PEG]],Table1016[#All],3,FALSE)</f>
        <v>#N/A</v>
      </c>
    </row>
    <row r="11" spans="1:5">
      <c r="A11" s="114">
        <v>4</v>
      </c>
      <c r="B11" s="110" t="s">
        <v>115</v>
      </c>
      <c r="C11" s="105" t="e">
        <f>VLOOKUP(Table257519913140106110151155170178204221[[#This Row],[PEG]],Table1016[#All],2,FALSE)</f>
        <v>#N/A</v>
      </c>
      <c r="D11" s="125"/>
      <c r="E11" s="122" t="e">
        <f>VLOOKUP(Table257519913140106110151155170178204221[[#This Row],[PEG]],Table1016[#All],3,FALSE)</f>
        <v>#N/A</v>
      </c>
    </row>
    <row r="12" spans="1:5">
      <c r="A12" s="114">
        <v>5</v>
      </c>
      <c r="B12" s="110" t="s">
        <v>114</v>
      </c>
      <c r="C12" s="105" t="e">
        <f>VLOOKUP(Table257519913140106110151155170178204221[[#This Row],[PEG]],Table1016[#All],2,FALSE)</f>
        <v>#N/A</v>
      </c>
      <c r="D12" s="125"/>
      <c r="E12" s="122" t="e">
        <f>VLOOKUP(Table257519913140106110151155170178204221[[#This Row],[PEG]],Table1016[#All],3,FALSE)</f>
        <v>#N/A</v>
      </c>
    </row>
    <row r="13" spans="1:5">
      <c r="A13" s="114">
        <v>6</v>
      </c>
      <c r="B13" s="110" t="s">
        <v>115</v>
      </c>
      <c r="C13" s="105" t="e">
        <f>VLOOKUP(Table257519913140106110151155170178204221[[#This Row],[PEG]],Table1016[#All],2,FALSE)</f>
        <v>#N/A</v>
      </c>
      <c r="D13" s="125"/>
      <c r="E13" s="122" t="e">
        <f>VLOOKUP(Table257519913140106110151155170178204221[[#This Row],[PEG]],Table1016[#All],3,FALSE)</f>
        <v>#N/A</v>
      </c>
    </row>
    <row r="14" spans="1:5">
      <c r="A14" s="114">
        <v>7</v>
      </c>
      <c r="B14" s="110" t="s">
        <v>114</v>
      </c>
      <c r="C14" s="105" t="e">
        <f>VLOOKUP(Table257519913140106110151155170178204221[[#This Row],[PEG]],Table1016[#All],2,FALSE)</f>
        <v>#N/A</v>
      </c>
      <c r="D14" s="125"/>
      <c r="E14" s="122" t="e">
        <f>VLOOKUP(Table257519913140106110151155170178204221[[#This Row],[PEG]],Table1016[#All],3,FALSE)</f>
        <v>#N/A</v>
      </c>
    </row>
    <row r="15" spans="1:5">
      <c r="A15" s="114">
        <v>8</v>
      </c>
      <c r="B15" s="110" t="s">
        <v>115</v>
      </c>
      <c r="C15" s="105" t="e">
        <f>VLOOKUP(Table257519913140106110151155170178204221[[#This Row],[PEG]],Table1016[#All],2,FALSE)</f>
        <v>#N/A</v>
      </c>
      <c r="D15" s="112"/>
      <c r="E15" s="122" t="e">
        <f>VLOOKUP(Table257519913140106110151155170178204221[[#This Row],[PEG]],Table1016[#All],3,FALSE)</f>
        <v>#N/A</v>
      </c>
    </row>
    <row r="16" spans="1:5">
      <c r="A16" s="114">
        <v>9</v>
      </c>
      <c r="B16" s="110" t="s">
        <v>12</v>
      </c>
      <c r="C16" s="105" t="e">
        <f>VLOOKUP(Table257519913140106110151155170178204221[[#This Row],[PEG]],Table1016[#All],2,FALSE)</f>
        <v>#N/A</v>
      </c>
      <c r="D16" s="112"/>
      <c r="E16" s="122" t="e">
        <f>VLOOKUP(Table257519913140106110151155170178204221[[#This Row],[PEG]],Table1016[#All],3,FALSE)</f>
        <v>#N/A</v>
      </c>
    </row>
    <row r="17" spans="1:5">
      <c r="A17" s="114">
        <v>10</v>
      </c>
      <c r="B17" s="110" t="s">
        <v>12</v>
      </c>
      <c r="C17" s="105" t="e">
        <f>VLOOKUP(Table257519913140106110151155170178204221[[#This Row],[PEG]],Table1016[#All],2,FALSE)</f>
        <v>#N/A</v>
      </c>
      <c r="D17" s="113"/>
      <c r="E17" s="122" t="e">
        <f>VLOOKUP(Table257519913140106110151155170178204221[[#This Row],[PEG]],Table1016[#All],3,FALSE)</f>
        <v>#N/A</v>
      </c>
    </row>
    <row r="18" spans="1:5">
      <c r="A18" s="114">
        <v>11</v>
      </c>
      <c r="B18" s="110" t="s">
        <v>115</v>
      </c>
      <c r="C18" s="105" t="e">
        <f>VLOOKUP(Table257519913140106110151155170178204221[[#This Row],[PEG]],Table1016[#All],2,FALSE)</f>
        <v>#N/A</v>
      </c>
      <c r="D18" s="113"/>
      <c r="E18" s="122" t="e">
        <f>VLOOKUP(Table257519913140106110151155170178204221[[#This Row],[PEG]],Table1016[#All],3,FALSE)</f>
        <v>#N/A</v>
      </c>
    </row>
    <row r="19" spans="1:5">
      <c r="A19" s="114">
        <v>12</v>
      </c>
      <c r="B19" s="110" t="s">
        <v>115</v>
      </c>
      <c r="C19" s="105" t="e">
        <f>VLOOKUP(Table257519913140106110151155170178204221[[#This Row],[PEG]],Table1016[#All],2,FALSE)</f>
        <v>#N/A</v>
      </c>
      <c r="D19" s="113"/>
      <c r="E19" s="122" t="e">
        <f>VLOOKUP(Table257519913140106110151155170178204221[[#This Row],[PEG]],Table1016[#All],3,FALSE)</f>
        <v>#N/A</v>
      </c>
    </row>
    <row r="20" spans="1:5">
      <c r="A20" s="114">
        <v>13</v>
      </c>
      <c r="B20" s="110" t="s">
        <v>114</v>
      </c>
      <c r="C20" s="105" t="e">
        <f>VLOOKUP(Table257519913140106110151155170178204221[[#This Row],[PEG]],Table1016[#All],2,FALSE)</f>
        <v>#N/A</v>
      </c>
      <c r="D20" s="113"/>
      <c r="E20" s="122" t="e">
        <f>VLOOKUP(Table257519913140106110151155170178204221[[#This Row],[PEG]],Table1016[#All],3,FALSE)</f>
        <v>#N/A</v>
      </c>
    </row>
    <row r="21" spans="1:5">
      <c r="A21" s="114">
        <v>14</v>
      </c>
      <c r="B21" s="110" t="s">
        <v>12</v>
      </c>
      <c r="C21" s="105" t="e">
        <f>VLOOKUP(Table257519913140106110151155170178204221[[#This Row],[PEG]],Table1016[#All],2,FALSE)</f>
        <v>#N/A</v>
      </c>
      <c r="D21" s="113"/>
      <c r="E21" s="122" t="e">
        <f>VLOOKUP(Table257519913140106110151155170178204221[[#This Row],[PEG]],Table1016[#All],3,FALSE)</f>
        <v>#N/A</v>
      </c>
    </row>
    <row r="22" spans="1:5">
      <c r="A22" s="114">
        <v>15</v>
      </c>
      <c r="B22" s="110" t="s">
        <v>12</v>
      </c>
      <c r="C22" s="105" t="e">
        <f>VLOOKUP(Table257519913140106110151155170178204221[[#This Row],[PEG]],Table1016[#All],2,FALSE)</f>
        <v>#N/A</v>
      </c>
      <c r="D22" s="113"/>
      <c r="E22" s="122" t="e">
        <f>VLOOKUP(Table257519913140106110151155170178204221[[#This Row],[PEG]],Table1016[#All],3,FALSE)</f>
        <v>#N/A</v>
      </c>
    </row>
    <row r="23" spans="1:5">
      <c r="A23" s="114">
        <v>16</v>
      </c>
      <c r="B23" s="110" t="s">
        <v>115</v>
      </c>
      <c r="C23" s="105" t="e">
        <f>VLOOKUP(Table257519913140106110151155170178204221[[#This Row],[PEG]],Table1016[#All],2,FALSE)</f>
        <v>#N/A</v>
      </c>
      <c r="D23" s="113"/>
      <c r="E23" s="122" t="e">
        <f>VLOOKUP(Table257519913140106110151155170178204221[[#This Row],[PEG]],Table1016[#All],3,FALSE)</f>
        <v>#N/A</v>
      </c>
    </row>
    <row r="24" spans="1:5">
      <c r="A24" s="114">
        <v>17</v>
      </c>
      <c r="B24" s="110" t="s">
        <v>114</v>
      </c>
      <c r="C24" s="105" t="e">
        <f>VLOOKUP(Table257519913140106110151155170178204221[[#This Row],[PEG]],Table1016[#All],2,FALSE)</f>
        <v>#N/A</v>
      </c>
      <c r="D24" s="113"/>
      <c r="E24" s="122" t="e">
        <f>VLOOKUP(Table257519913140106110151155170178204221[[#This Row],[PEG]],Table1016[#All],3,FALSE)</f>
        <v>#N/A</v>
      </c>
    </row>
    <row r="25" spans="1:5">
      <c r="A25" s="114">
        <v>18</v>
      </c>
      <c r="B25" s="110" t="s">
        <v>12</v>
      </c>
      <c r="C25" s="105" t="e">
        <f>VLOOKUP(Table257519913140106110151155170178204221[[#This Row],[PEG]],Table1016[#All],2,FALSE)</f>
        <v>#N/A</v>
      </c>
      <c r="D25" s="113"/>
      <c r="E25" s="122" t="e">
        <f>VLOOKUP(Table257519913140106110151155170178204221[[#This Row],[PEG]],Table1016[#All],3,FALSE)</f>
        <v>#N/A</v>
      </c>
    </row>
    <row r="26" spans="1:5">
      <c r="A26" s="114">
        <v>19</v>
      </c>
      <c r="B26" s="110" t="s">
        <v>12</v>
      </c>
      <c r="C26" s="105" t="e">
        <f>VLOOKUP(Table257519913140106110151155170178204221[[#This Row],[PEG]],Table1016[#All],2,FALSE)</f>
        <v>#N/A</v>
      </c>
      <c r="D26" s="113"/>
      <c r="E26" s="122" t="e">
        <f>VLOOKUP(Table257519913140106110151155170178204221[[#This Row],[PEG]],Table1016[#All],3,FALSE)</f>
        <v>#N/A</v>
      </c>
    </row>
    <row r="27" spans="1:5">
      <c r="A27" s="114">
        <v>20</v>
      </c>
      <c r="B27" s="110" t="s">
        <v>115</v>
      </c>
      <c r="C27" s="105" t="e">
        <f>VLOOKUP(Table257519913140106110151155170178204221[[#This Row],[PEG]],Table1016[#All],2,FALSE)</f>
        <v>#N/A</v>
      </c>
      <c r="D27" s="113"/>
      <c r="E27" s="122" t="e">
        <f>VLOOKUP(Table257519913140106110151155170178204221[[#This Row],[PEG]],Table1016[#All],3,FALSE)</f>
        <v>#N/A</v>
      </c>
    </row>
    <row r="28" spans="1:5">
      <c r="A28" s="114">
        <v>21</v>
      </c>
      <c r="B28" s="110" t="s">
        <v>114</v>
      </c>
      <c r="C28" s="105" t="e">
        <f>VLOOKUP(Table257519913140106110151155170178204221[[#This Row],[PEG]],Table1016[#All],2,FALSE)</f>
        <v>#N/A</v>
      </c>
      <c r="D28" s="113"/>
      <c r="E28" s="122" t="e">
        <f>VLOOKUP(Table257519913140106110151155170178204221[[#This Row],[PEG]],Table1016[#All],3,FALSE)</f>
        <v>#N/A</v>
      </c>
    </row>
    <row r="29" spans="1:5">
      <c r="A29" s="114">
        <v>22</v>
      </c>
      <c r="B29" s="110" t="s">
        <v>12</v>
      </c>
      <c r="C29" s="105" t="e">
        <f>VLOOKUP(Table257519913140106110151155170178204221[[#This Row],[PEG]],Table1016[#All],2,FALSE)</f>
        <v>#N/A</v>
      </c>
      <c r="D29" s="113"/>
      <c r="E29" s="122" t="e">
        <f>VLOOKUP(Table257519913140106110151155170178204221[[#This Row],[PEG]],Table1016[#All],3,FALSE)</f>
        <v>#N/A</v>
      </c>
    </row>
    <row r="30" spans="1:5">
      <c r="A30" s="114">
        <v>23</v>
      </c>
      <c r="B30" s="110" t="s">
        <v>12</v>
      </c>
      <c r="C30" s="105" t="e">
        <f>VLOOKUP(Table257519913140106110151155170178204221[[#This Row],[PEG]],Table1016[#All],2,FALSE)</f>
        <v>#N/A</v>
      </c>
      <c r="D30" s="113"/>
      <c r="E30" s="122" t="e">
        <f>VLOOKUP(Table257519913140106110151155170178204221[[#This Row],[PEG]],Table1016[#All],3,FALSE)</f>
        <v>#N/A</v>
      </c>
    </row>
    <row r="31" spans="1:5">
      <c r="A31" s="114">
        <v>24</v>
      </c>
      <c r="B31" s="110" t="s">
        <v>115</v>
      </c>
      <c r="C31" s="105" t="e">
        <f>VLOOKUP(Table257519913140106110151155170178204221[[#This Row],[PEG]],Table1016[#All],2,FALSE)</f>
        <v>#N/A</v>
      </c>
      <c r="D31" s="113"/>
      <c r="E31" s="122" t="e">
        <f>VLOOKUP(Table257519913140106110151155170178204221[[#This Row],[PEG]],Table1016[#All],3,FALSE)</f>
        <v>#N/A</v>
      </c>
    </row>
    <row r="32" spans="1:5">
      <c r="A32" s="114">
        <v>25</v>
      </c>
      <c r="B32" s="110" t="s">
        <v>115</v>
      </c>
      <c r="C32" s="105" t="e">
        <f>VLOOKUP(Table257519913140106110151155170178204221[[#This Row],[PEG]],Table1016[#All],2,FALSE)</f>
        <v>#N/A</v>
      </c>
      <c r="D32" s="113"/>
      <c r="E32" s="122" t="e">
        <f>VLOOKUP(Table257519913140106110151155170178204221[[#This Row],[PEG]],Table1016[#All],3,FALSE)</f>
        <v>#N/A</v>
      </c>
    </row>
    <row r="33" spans="1:5">
      <c r="A33" s="114">
        <v>26</v>
      </c>
      <c r="B33" s="110" t="s">
        <v>124</v>
      </c>
      <c r="C33" s="105" t="e">
        <f>VLOOKUP(Table257519913140106110151155170178204221[[#This Row],[PEG]],Table1016[#All],2,FALSE)</f>
        <v>#N/A</v>
      </c>
      <c r="D33" s="113"/>
      <c r="E33" s="122" t="e">
        <f>VLOOKUP(Table257519913140106110151155170178204221[[#This Row],[PEG]],Table1016[#All],3,FALSE)</f>
        <v>#N/A</v>
      </c>
    </row>
    <row r="34" spans="1:5">
      <c r="A34" s="114">
        <v>27</v>
      </c>
      <c r="B34" s="110" t="s">
        <v>115</v>
      </c>
      <c r="C34" s="105" t="e">
        <f>VLOOKUP(Table257519913140106110151155170178204221[[#This Row],[PEG]],Table1016[#All],2,FALSE)</f>
        <v>#N/A</v>
      </c>
      <c r="D34" s="113"/>
      <c r="E34" s="122" t="e">
        <f>VLOOKUP(Table257519913140106110151155170178204221[[#This Row],[PEG]],Table1016[#All],3,FALSE)</f>
        <v>#N/A</v>
      </c>
    </row>
    <row r="35" spans="1:5">
      <c r="A35" s="114">
        <v>28</v>
      </c>
      <c r="B35" s="110" t="s">
        <v>124</v>
      </c>
      <c r="C35" s="105" t="e">
        <f>VLOOKUP(Table257519913140106110151155170178204221[[#This Row],[PEG]],Table1016[#All],2,FALSE)</f>
        <v>#N/A</v>
      </c>
      <c r="D35" s="113"/>
      <c r="E35" s="122" t="e">
        <f>VLOOKUP(Table257519913140106110151155170178204221[[#This Row],[PEG]],Table1016[#All],3,FALSE)</f>
        <v>#N/A</v>
      </c>
    </row>
    <row r="36" spans="1:5">
      <c r="A36" s="114">
        <v>29</v>
      </c>
      <c r="B36" s="110" t="s">
        <v>115</v>
      </c>
      <c r="C36" s="105" t="e">
        <f>VLOOKUP(Table257519913140106110151155170178204221[[#This Row],[PEG]],Table1016[#All],2,FALSE)</f>
        <v>#N/A</v>
      </c>
      <c r="D36" s="113"/>
      <c r="E36" s="122" t="e">
        <f>VLOOKUP(Table257519913140106110151155170178204221[[#This Row],[PEG]],Table1016[#All],3,FALSE)</f>
        <v>#N/A</v>
      </c>
    </row>
    <row r="37" spans="1:5">
      <c r="A37" s="114">
        <v>30</v>
      </c>
      <c r="B37" s="110" t="s">
        <v>12</v>
      </c>
      <c r="C37" s="105" t="e">
        <f>VLOOKUP(Table257519913140106110151155170178204221[[#This Row],[PEG]],Table1016[#All],2,FALSE)</f>
        <v>#N/A</v>
      </c>
      <c r="D37" s="113"/>
      <c r="E37" s="122" t="e">
        <f>VLOOKUP(Table257519913140106110151155170178204221[[#This Row],[PEG]],Table1016[#All],3,FALSE)</f>
        <v>#N/A</v>
      </c>
    </row>
    <row r="38" spans="1:5">
      <c r="A38" s="114">
        <v>31</v>
      </c>
      <c r="B38" s="110" t="s">
        <v>12</v>
      </c>
      <c r="C38" s="105" t="e">
        <f>VLOOKUP(Table257519913140106110151155170178204221[[#This Row],[PEG]],Table1016[#All],2,FALSE)</f>
        <v>#N/A</v>
      </c>
      <c r="D38" s="113"/>
      <c r="E38" s="122" t="e">
        <f>VLOOKUP(Table257519913140106110151155170178204221[[#This Row],[PEG]],Table1016[#All],3,FALSE)</f>
        <v>#N/A</v>
      </c>
    </row>
    <row r="39" spans="1:5">
      <c r="A39" s="114">
        <v>32</v>
      </c>
      <c r="B39" s="110" t="s">
        <v>12</v>
      </c>
      <c r="C39" s="105" t="e">
        <f>VLOOKUP(Table257519913140106110151155170178204221[[#This Row],[PEG]],Table1016[#All],2,FALSE)</f>
        <v>#N/A</v>
      </c>
      <c r="D39" s="113"/>
      <c r="E39" s="122" t="e">
        <f>VLOOKUP(Table257519913140106110151155170178204221[[#This Row],[PEG]],Table1016[#All],3,FALSE)</f>
        <v>#N/A</v>
      </c>
    </row>
    <row r="40" spans="1:5">
      <c r="A40" s="114">
        <v>33</v>
      </c>
      <c r="B40" s="110" t="s">
        <v>12</v>
      </c>
      <c r="C40" s="105" t="e">
        <f>VLOOKUP(Table257519913140106110151155170178204221[[#This Row],[PEG]],Table1016[#All],2,FALSE)</f>
        <v>#N/A</v>
      </c>
      <c r="D40" s="113"/>
      <c r="E40" s="122" t="e">
        <f>VLOOKUP(Table257519913140106110151155170178204221[[#This Row],[PEG]],Table1016[#All],3,FALSE)</f>
        <v>#N/A</v>
      </c>
    </row>
    <row r="41" spans="1:5">
      <c r="A41" s="114">
        <v>34</v>
      </c>
      <c r="B41" s="110" t="s">
        <v>115</v>
      </c>
      <c r="C41" s="105" t="e">
        <f>VLOOKUP(Table257519913140106110151155170178204221[[#This Row],[PEG]],Table1016[#All],2,FALSE)</f>
        <v>#N/A</v>
      </c>
      <c r="D41" s="113"/>
      <c r="E41" s="122" t="e">
        <f>VLOOKUP(Table257519913140106110151155170178204221[[#This Row],[PEG]],Table1016[#All],3,FALSE)</f>
        <v>#N/A</v>
      </c>
    </row>
    <row r="42" spans="1:5">
      <c r="A42" s="114">
        <v>35</v>
      </c>
      <c r="B42" s="110" t="s">
        <v>12</v>
      </c>
      <c r="C42" s="105" t="e">
        <f>VLOOKUP(Table257519913140106110151155170178204221[[#This Row],[PEG]],Table1016[#All],2,FALSE)</f>
        <v>#N/A</v>
      </c>
      <c r="D42" s="111"/>
      <c r="E42" s="122" t="e">
        <f>VLOOKUP(Table257519913140106110151155170178204221[[#This Row],[PEG]],Table1016[#All],3,FALSE)</f>
        <v>#N/A</v>
      </c>
    </row>
    <row r="43" spans="1:5">
      <c r="A43" s="114">
        <v>36</v>
      </c>
      <c r="B43" s="110" t="s">
        <v>115</v>
      </c>
      <c r="C43" s="105" t="e">
        <f>VLOOKUP(Table257519913140106110151155170178204221[[#This Row],[PEG]],Table1016[#All],2,FALSE)</f>
        <v>#N/A</v>
      </c>
      <c r="D43" s="111"/>
      <c r="E43" s="122" t="e">
        <f>VLOOKUP(Table257519913140106110151155170178204221[[#This Row],[PEG]],Table1016[#All],3,FALSE)</f>
        <v>#N/A</v>
      </c>
    </row>
    <row r="44" spans="1:5">
      <c r="A44" s="114">
        <v>37</v>
      </c>
      <c r="B44" s="110" t="s">
        <v>13</v>
      </c>
      <c r="C44" s="17" t="s">
        <v>13</v>
      </c>
      <c r="D44" s="111"/>
      <c r="E44" s="31"/>
    </row>
  </sheetData>
  <mergeCells count="1">
    <mergeCell ref="A1:B1"/>
  </mergeCells>
  <conditionalFormatting sqref="B8:B18">
    <cfRule type="containsText" dxfId="1119" priority="1" operator="containsText" text="Hear">
      <formula>NOT(ISERROR(SEARCH("Hear",B8)))</formula>
    </cfRule>
  </conditionalFormatting>
  <conditionalFormatting sqref="B30">
    <cfRule type="containsText" dxfId="1118" priority="4" operator="containsText" text="Hear">
      <formula>NOT(ISERROR(SEARCH("Hear",B30)))</formula>
    </cfRule>
  </conditionalFormatting>
  <conditionalFormatting sqref="B43:B44">
    <cfRule type="containsText" dxfId="1117" priority="8" operator="containsText" text="Hear">
      <formula>NOT(ISERROR(SEARCH("Hear",B43)))</formula>
    </cfRule>
  </conditionalFormatting>
  <conditionalFormatting sqref="E44">
    <cfRule type="containsText" dxfId="1116" priority="6" operator="containsText" text="WEB SERVICE">
      <formula>NOT(ISERROR(SEARCH("WEB SERVICE",E44)))</formula>
    </cfRule>
    <cfRule type="containsText" dxfId="1115" priority="7" operator="containsText" text="DB">
      <formula>NOT(ISERROR(SEARCH("DB",E44)))</formula>
    </cfRule>
  </conditionalFormatting>
  <conditionalFormatting sqref="C44">
    <cfRule type="expression" dxfId="1114" priority="9">
      <formula>$B44="Dial"</formula>
    </cfRule>
  </conditionalFormatting>
  <conditionalFormatting sqref="C44">
    <cfRule type="expression" dxfId="1113" priority="3">
      <formula>$B44="Speak"</formula>
    </cfRule>
  </conditionalFormatting>
  <conditionalFormatting sqref="B19:B29 B31:B35 B42">
    <cfRule type="containsText" dxfId="1112" priority="5" operator="containsText" text="Hear">
      <formula>NOT(ISERROR(SEARCH("Hear",B19)))</formula>
    </cfRule>
  </conditionalFormatting>
  <hyperlinks>
    <hyperlink ref="A1" location="'Test Case Overview'!A1" display="Return to Test Case Overview" xr:uid="{00000000-0004-0000-9C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A93B3B0C-3C7D-411F-BD54-F400560E2691}">
            <xm:f>'TC1'!$B8="HANGUP"</xm:f>
            <x14:dxf>
              <font>
                <b/>
                <i val="0"/>
              </font>
            </x14:dxf>
          </x14:cfRule>
          <xm:sqref>C8</xm:sqref>
        </x14:conditionalFormatting>
        <x14:conditionalFormatting xmlns:xm="http://schemas.microsoft.com/office/excel/2006/main">
          <x14:cfRule type="expression" priority="3273" id="{A93B3B0C-3C7D-411F-BD54-F400560E2691}">
            <xm:f>'TC1'!$B14="HANGUP"</xm:f>
            <x14:dxf>
              <font>
                <b/>
                <i val="0"/>
              </font>
            </x14:dxf>
          </x14:cfRule>
          <xm:sqref>C34:C43</xm:sqref>
        </x14:conditionalFormatting>
        <x14:conditionalFormatting xmlns:xm="http://schemas.microsoft.com/office/excel/2006/main">
          <x14:cfRule type="expression" priority="3274" id="{A93B3B0C-3C7D-411F-BD54-F400560E2691}">
            <xm:f>'TC1'!#REF!="HANGUP"</xm:f>
            <x14:dxf>
              <font>
                <b/>
                <i val="0"/>
              </font>
            </x14:dxf>
          </x14:cfRule>
          <xm:sqref>C13:C33</xm:sqref>
        </x14:conditionalFormatting>
        <x14:conditionalFormatting xmlns:xm="http://schemas.microsoft.com/office/excel/2006/main">
          <x14:cfRule type="expression" priority="4563" id="{A93B3B0C-3C7D-411F-BD54-F400560E2691}">
            <xm:f>'TC1'!$B10="HANGUP"</xm:f>
            <x14:dxf>
              <font>
                <b/>
                <i val="0"/>
              </font>
            </x14:dxf>
          </x14:cfRule>
          <xm:sqref>C9:C12</xm:sqref>
        </x14:conditionalFormatting>
      </x14:conditionalFormattings>
    </ext>
  </extLst>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sheetPr codeName="Sheet159"/>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TC157</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VLOOKUP(Table257519913140106110151155170178204223[[#This Row],[PEG]],Table1016[#All],2,FALSE)</f>
        <v>#N/A</v>
      </c>
      <c r="D9" s="125"/>
      <c r="E9" s="122" t="e">
        <f>VLOOKUP(Table257519913140106110151155170178204223[[#This Row],[PEG]],Table1016[#All],3,FALSE)</f>
        <v>#N/A</v>
      </c>
    </row>
    <row r="10" spans="1:5">
      <c r="A10" s="114">
        <v>3</v>
      </c>
      <c r="B10" s="110" t="s">
        <v>115</v>
      </c>
      <c r="C10" s="105" t="e">
        <f>VLOOKUP(Table257519913140106110151155170178204223[[#This Row],[PEG]],Table1016[#All],2,FALSE)</f>
        <v>#N/A</v>
      </c>
      <c r="D10" s="125"/>
      <c r="E10" s="122" t="e">
        <f>VLOOKUP(Table257519913140106110151155170178204223[[#This Row],[PEG]],Table1016[#All],3,FALSE)</f>
        <v>#N/A</v>
      </c>
    </row>
    <row r="11" spans="1:5">
      <c r="A11" s="114">
        <v>4</v>
      </c>
      <c r="B11" s="110" t="s">
        <v>115</v>
      </c>
      <c r="C11" s="105" t="e">
        <f>VLOOKUP(Table257519913140106110151155170178204223[[#This Row],[PEG]],Table1016[#All],2,FALSE)</f>
        <v>#N/A</v>
      </c>
      <c r="D11" s="125"/>
      <c r="E11" s="122" t="e">
        <f>VLOOKUP(Table257519913140106110151155170178204223[[#This Row],[PEG]],Table1016[#All],3,FALSE)</f>
        <v>#N/A</v>
      </c>
    </row>
    <row r="12" spans="1:5">
      <c r="A12" s="114">
        <v>5</v>
      </c>
      <c r="B12" s="110" t="s">
        <v>114</v>
      </c>
      <c r="C12" s="105" t="e">
        <f>VLOOKUP(Table257519913140106110151155170178204223[[#This Row],[PEG]],Table1016[#All],2,FALSE)</f>
        <v>#N/A</v>
      </c>
      <c r="D12" s="125"/>
      <c r="E12" s="122" t="e">
        <f>VLOOKUP(Table257519913140106110151155170178204223[[#This Row],[PEG]],Table1016[#All],3,FALSE)</f>
        <v>#N/A</v>
      </c>
    </row>
    <row r="13" spans="1:5">
      <c r="A13" s="114">
        <v>6</v>
      </c>
      <c r="B13" s="110" t="s">
        <v>115</v>
      </c>
      <c r="C13" s="105" t="e">
        <f>VLOOKUP(Table257519913140106110151155170178204223[[#This Row],[PEG]],Table1016[#All],2,FALSE)</f>
        <v>#N/A</v>
      </c>
      <c r="D13" s="125"/>
      <c r="E13" s="122" t="e">
        <f>VLOOKUP(Table257519913140106110151155170178204223[[#This Row],[PEG]],Table1016[#All],3,FALSE)</f>
        <v>#N/A</v>
      </c>
    </row>
    <row r="14" spans="1:5">
      <c r="A14" s="114">
        <v>7</v>
      </c>
      <c r="B14" s="110" t="s">
        <v>114</v>
      </c>
      <c r="C14" s="105" t="e">
        <f>VLOOKUP(Table257519913140106110151155170178204223[[#This Row],[PEG]],Table1016[#All],2,FALSE)</f>
        <v>#N/A</v>
      </c>
      <c r="D14" s="125"/>
      <c r="E14" s="122" t="e">
        <f>VLOOKUP(Table257519913140106110151155170178204223[[#This Row],[PEG]],Table1016[#All],3,FALSE)</f>
        <v>#N/A</v>
      </c>
    </row>
    <row r="15" spans="1:5">
      <c r="A15" s="114">
        <v>8</v>
      </c>
      <c r="B15" s="110" t="s">
        <v>115</v>
      </c>
      <c r="C15" s="105" t="e">
        <f>VLOOKUP(Table257519913140106110151155170178204223[[#This Row],[PEG]],Table1016[#All],2,FALSE)</f>
        <v>#N/A</v>
      </c>
      <c r="D15" s="112"/>
      <c r="E15" s="122" t="e">
        <f>VLOOKUP(Table257519913140106110151155170178204223[[#This Row],[PEG]],Table1016[#All],3,FALSE)</f>
        <v>#N/A</v>
      </c>
    </row>
    <row r="16" spans="1:5">
      <c r="A16" s="114">
        <v>9</v>
      </c>
      <c r="B16" s="110" t="s">
        <v>12</v>
      </c>
      <c r="C16" s="105" t="e">
        <f>VLOOKUP(Table257519913140106110151155170178204223[[#This Row],[PEG]],Table1016[#All],2,FALSE)</f>
        <v>#N/A</v>
      </c>
      <c r="D16" s="112"/>
      <c r="E16" s="122" t="e">
        <f>VLOOKUP(Table257519913140106110151155170178204223[[#This Row],[PEG]],Table1016[#All],3,FALSE)</f>
        <v>#N/A</v>
      </c>
    </row>
    <row r="17" spans="1:5">
      <c r="A17" s="114">
        <v>10</v>
      </c>
      <c r="B17" s="110" t="s">
        <v>12</v>
      </c>
      <c r="C17" s="105" t="e">
        <f>VLOOKUP(Table257519913140106110151155170178204223[[#This Row],[PEG]],Table1016[#All],2,FALSE)</f>
        <v>#N/A</v>
      </c>
      <c r="D17" s="113"/>
      <c r="E17" s="122" t="e">
        <f>VLOOKUP(Table257519913140106110151155170178204223[[#This Row],[PEG]],Table1016[#All],3,FALSE)</f>
        <v>#N/A</v>
      </c>
    </row>
    <row r="18" spans="1:5">
      <c r="A18" s="114">
        <v>11</v>
      </c>
      <c r="B18" s="110" t="s">
        <v>115</v>
      </c>
      <c r="C18" s="105" t="e">
        <f>VLOOKUP(Table257519913140106110151155170178204223[[#This Row],[PEG]],Table1016[#All],2,FALSE)</f>
        <v>#N/A</v>
      </c>
      <c r="D18" s="113"/>
      <c r="E18" s="122" t="e">
        <f>VLOOKUP(Table257519913140106110151155170178204223[[#This Row],[PEG]],Table1016[#All],3,FALSE)</f>
        <v>#N/A</v>
      </c>
    </row>
    <row r="19" spans="1:5">
      <c r="A19" s="114">
        <v>12</v>
      </c>
      <c r="B19" s="110" t="s">
        <v>115</v>
      </c>
      <c r="C19" s="105" t="e">
        <f>VLOOKUP(Table257519913140106110151155170178204223[[#This Row],[PEG]],Table1016[#All],2,FALSE)</f>
        <v>#N/A</v>
      </c>
      <c r="D19" s="113"/>
      <c r="E19" s="122" t="e">
        <f>VLOOKUP(Table257519913140106110151155170178204223[[#This Row],[PEG]],Table1016[#All],3,FALSE)</f>
        <v>#N/A</v>
      </c>
    </row>
    <row r="20" spans="1:5">
      <c r="A20" s="114">
        <v>13</v>
      </c>
      <c r="B20" s="110" t="s">
        <v>114</v>
      </c>
      <c r="C20" s="105" t="e">
        <f>VLOOKUP(Table257519913140106110151155170178204223[[#This Row],[PEG]],Table1016[#All],2,FALSE)</f>
        <v>#N/A</v>
      </c>
      <c r="D20" s="113"/>
      <c r="E20" s="122" t="e">
        <f>VLOOKUP(Table257519913140106110151155170178204223[[#This Row],[PEG]],Table1016[#All],3,FALSE)</f>
        <v>#N/A</v>
      </c>
    </row>
    <row r="21" spans="1:5">
      <c r="A21" s="114">
        <v>14</v>
      </c>
      <c r="B21" s="110" t="s">
        <v>12</v>
      </c>
      <c r="C21" s="105" t="e">
        <f>VLOOKUP(Table257519913140106110151155170178204223[[#This Row],[PEG]],Table1016[#All],2,FALSE)</f>
        <v>#N/A</v>
      </c>
      <c r="D21" s="113"/>
      <c r="E21" s="122" t="e">
        <f>VLOOKUP(Table257519913140106110151155170178204223[[#This Row],[PEG]],Table1016[#All],3,FALSE)</f>
        <v>#N/A</v>
      </c>
    </row>
    <row r="22" spans="1:5">
      <c r="A22" s="114">
        <v>15</v>
      </c>
      <c r="B22" s="110" t="s">
        <v>12</v>
      </c>
      <c r="C22" s="105" t="e">
        <f>VLOOKUP(Table257519913140106110151155170178204223[[#This Row],[PEG]],Table1016[#All],2,FALSE)</f>
        <v>#N/A</v>
      </c>
      <c r="D22" s="113"/>
      <c r="E22" s="122" t="e">
        <f>VLOOKUP(Table257519913140106110151155170178204223[[#This Row],[PEG]],Table1016[#All],3,FALSE)</f>
        <v>#N/A</v>
      </c>
    </row>
    <row r="23" spans="1:5">
      <c r="A23" s="114">
        <v>16</v>
      </c>
      <c r="B23" s="110" t="s">
        <v>115</v>
      </c>
      <c r="C23" s="105" t="e">
        <f>VLOOKUP(Table257519913140106110151155170178204223[[#This Row],[PEG]],Table1016[#All],2,FALSE)</f>
        <v>#N/A</v>
      </c>
      <c r="D23" s="113"/>
      <c r="E23" s="122" t="e">
        <f>VLOOKUP(Table257519913140106110151155170178204223[[#This Row],[PEG]],Table1016[#All],3,FALSE)</f>
        <v>#N/A</v>
      </c>
    </row>
    <row r="24" spans="1:5">
      <c r="A24" s="114">
        <v>17</v>
      </c>
      <c r="B24" s="110" t="s">
        <v>114</v>
      </c>
      <c r="C24" s="105" t="e">
        <f>VLOOKUP(Table257519913140106110151155170178204223[[#This Row],[PEG]],Table1016[#All],2,FALSE)</f>
        <v>#N/A</v>
      </c>
      <c r="D24" s="113"/>
      <c r="E24" s="122" t="e">
        <f>VLOOKUP(Table257519913140106110151155170178204223[[#This Row],[PEG]],Table1016[#All],3,FALSE)</f>
        <v>#N/A</v>
      </c>
    </row>
    <row r="25" spans="1:5">
      <c r="A25" s="114">
        <v>18</v>
      </c>
      <c r="B25" s="110" t="s">
        <v>12</v>
      </c>
      <c r="C25" s="105" t="e">
        <f>VLOOKUP(Table257519913140106110151155170178204223[[#This Row],[PEG]],Table1016[#All],2,FALSE)</f>
        <v>#N/A</v>
      </c>
      <c r="D25" s="113"/>
      <c r="E25" s="122" t="e">
        <f>VLOOKUP(Table257519913140106110151155170178204223[[#This Row],[PEG]],Table1016[#All],3,FALSE)</f>
        <v>#N/A</v>
      </c>
    </row>
    <row r="26" spans="1:5">
      <c r="A26" s="114">
        <v>19</v>
      </c>
      <c r="B26" s="110" t="s">
        <v>12</v>
      </c>
      <c r="C26" s="105" t="e">
        <f>VLOOKUP(Table257519913140106110151155170178204223[[#This Row],[PEG]],Table1016[#All],2,FALSE)</f>
        <v>#N/A</v>
      </c>
      <c r="D26" s="113"/>
      <c r="E26" s="122" t="e">
        <f>VLOOKUP(Table257519913140106110151155170178204223[[#This Row],[PEG]],Table1016[#All],3,FALSE)</f>
        <v>#N/A</v>
      </c>
    </row>
    <row r="27" spans="1:5">
      <c r="A27" s="114">
        <v>20</v>
      </c>
      <c r="B27" s="110" t="s">
        <v>115</v>
      </c>
      <c r="C27" s="105" t="e">
        <f>VLOOKUP(Table257519913140106110151155170178204223[[#This Row],[PEG]],Table1016[#All],2,FALSE)</f>
        <v>#N/A</v>
      </c>
      <c r="D27" s="113"/>
      <c r="E27" s="122" t="e">
        <f>VLOOKUP(Table257519913140106110151155170178204223[[#This Row],[PEG]],Table1016[#All],3,FALSE)</f>
        <v>#N/A</v>
      </c>
    </row>
    <row r="28" spans="1:5">
      <c r="A28" s="114">
        <v>21</v>
      </c>
      <c r="B28" s="110" t="s">
        <v>114</v>
      </c>
      <c r="C28" s="105" t="e">
        <f>VLOOKUP(Table257519913140106110151155170178204223[[#This Row],[PEG]],Table1016[#All],2,FALSE)</f>
        <v>#N/A</v>
      </c>
      <c r="D28" s="113"/>
      <c r="E28" s="122" t="e">
        <f>VLOOKUP(Table257519913140106110151155170178204223[[#This Row],[PEG]],Table1016[#All],3,FALSE)</f>
        <v>#N/A</v>
      </c>
    </row>
    <row r="29" spans="1:5">
      <c r="A29" s="114">
        <v>22</v>
      </c>
      <c r="B29" s="110" t="s">
        <v>12</v>
      </c>
      <c r="C29" s="105" t="e">
        <f>VLOOKUP(Table257519913140106110151155170178204223[[#This Row],[PEG]],Table1016[#All],2,FALSE)</f>
        <v>#N/A</v>
      </c>
      <c r="D29" s="113"/>
      <c r="E29" s="122" t="e">
        <f>VLOOKUP(Table257519913140106110151155170178204223[[#This Row],[PEG]],Table1016[#All],3,FALSE)</f>
        <v>#N/A</v>
      </c>
    </row>
    <row r="30" spans="1:5">
      <c r="A30" s="114">
        <v>23</v>
      </c>
      <c r="B30" s="110" t="s">
        <v>12</v>
      </c>
      <c r="C30" s="105" t="e">
        <f>VLOOKUP(Table257519913140106110151155170178204223[[#This Row],[PEG]],Table1016[#All],2,FALSE)</f>
        <v>#N/A</v>
      </c>
      <c r="D30" s="113"/>
      <c r="E30" s="122" t="e">
        <f>VLOOKUP(Table257519913140106110151155170178204223[[#This Row],[PEG]],Table1016[#All],3,FALSE)</f>
        <v>#N/A</v>
      </c>
    </row>
    <row r="31" spans="1:5">
      <c r="A31" s="114">
        <v>24</v>
      </c>
      <c r="B31" s="110" t="s">
        <v>115</v>
      </c>
      <c r="C31" s="105" t="e">
        <f>VLOOKUP(Table257519913140106110151155170178204223[[#This Row],[PEG]],Table1016[#All],2,FALSE)</f>
        <v>#N/A</v>
      </c>
      <c r="D31" s="113"/>
      <c r="E31" s="122" t="e">
        <f>VLOOKUP(Table257519913140106110151155170178204223[[#This Row],[PEG]],Table1016[#All],3,FALSE)</f>
        <v>#N/A</v>
      </c>
    </row>
    <row r="32" spans="1:5">
      <c r="A32" s="114">
        <v>25</v>
      </c>
      <c r="B32" s="110" t="s">
        <v>115</v>
      </c>
      <c r="C32" s="105" t="e">
        <f>VLOOKUP(Table257519913140106110151155170178204223[[#This Row],[PEG]],Table1016[#All],2,FALSE)</f>
        <v>#N/A</v>
      </c>
      <c r="D32" s="113"/>
      <c r="E32" s="122" t="e">
        <f>VLOOKUP(Table257519913140106110151155170178204223[[#This Row],[PEG]],Table1016[#All],3,FALSE)</f>
        <v>#N/A</v>
      </c>
    </row>
    <row r="33" spans="1:5">
      <c r="A33" s="114">
        <v>26</v>
      </c>
      <c r="B33" s="110" t="s">
        <v>124</v>
      </c>
      <c r="C33" s="105" t="e">
        <f>VLOOKUP(Table257519913140106110151155170178204223[[#This Row],[PEG]],Table1016[#All],2,FALSE)</f>
        <v>#N/A</v>
      </c>
      <c r="D33" s="113"/>
      <c r="E33" s="122" t="e">
        <f>VLOOKUP(Table257519913140106110151155170178204223[[#This Row],[PEG]],Table1016[#All],3,FALSE)</f>
        <v>#N/A</v>
      </c>
    </row>
    <row r="34" spans="1:5">
      <c r="A34" s="114">
        <v>27</v>
      </c>
      <c r="B34" s="110" t="s">
        <v>115</v>
      </c>
      <c r="C34" s="105" t="e">
        <f>VLOOKUP(Table257519913140106110151155170178204223[[#This Row],[PEG]],Table1016[#All],2,FALSE)</f>
        <v>#N/A</v>
      </c>
      <c r="D34" s="113"/>
      <c r="E34" s="122" t="e">
        <f>VLOOKUP(Table257519913140106110151155170178204223[[#This Row],[PEG]],Table1016[#All],3,FALSE)</f>
        <v>#N/A</v>
      </c>
    </row>
    <row r="35" spans="1:5">
      <c r="A35" s="114">
        <v>28</v>
      </c>
      <c r="B35" s="110" t="s">
        <v>124</v>
      </c>
      <c r="C35" s="105" t="e">
        <f>VLOOKUP(Table257519913140106110151155170178204223[[#This Row],[PEG]],Table1016[#All],2,FALSE)</f>
        <v>#N/A</v>
      </c>
      <c r="D35" s="113"/>
      <c r="E35" s="122" t="e">
        <f>VLOOKUP(Table257519913140106110151155170178204223[[#This Row],[PEG]],Table1016[#All],3,FALSE)</f>
        <v>#N/A</v>
      </c>
    </row>
    <row r="36" spans="1:5">
      <c r="A36" s="114">
        <v>29</v>
      </c>
      <c r="B36" s="110" t="s">
        <v>115</v>
      </c>
      <c r="C36" s="105" t="e">
        <f>VLOOKUP(Table257519913140106110151155170178204223[[#This Row],[PEG]],Table1016[#All],2,FALSE)</f>
        <v>#N/A</v>
      </c>
      <c r="D36" s="113"/>
      <c r="E36" s="122" t="e">
        <f>VLOOKUP(Table257519913140106110151155170178204223[[#This Row],[PEG]],Table1016[#All],3,FALSE)</f>
        <v>#N/A</v>
      </c>
    </row>
    <row r="37" spans="1:5">
      <c r="A37" s="114">
        <v>30</v>
      </c>
      <c r="B37" s="110" t="s">
        <v>12</v>
      </c>
      <c r="C37" s="105" t="e">
        <f>VLOOKUP(Table257519913140106110151155170178204223[[#This Row],[PEG]],Table1016[#All],2,FALSE)</f>
        <v>#N/A</v>
      </c>
      <c r="D37" s="113"/>
      <c r="E37" s="122" t="e">
        <f>VLOOKUP(Table257519913140106110151155170178204223[[#This Row],[PEG]],Table1016[#All],3,FALSE)</f>
        <v>#N/A</v>
      </c>
    </row>
    <row r="38" spans="1:5">
      <c r="A38" s="114">
        <v>31</v>
      </c>
      <c r="B38" s="110" t="s">
        <v>12</v>
      </c>
      <c r="C38" s="105" t="e">
        <f>VLOOKUP(Table257519913140106110151155170178204223[[#This Row],[PEG]],Table1016[#All],2,FALSE)</f>
        <v>#N/A</v>
      </c>
      <c r="D38" s="113"/>
      <c r="E38" s="122" t="e">
        <f>VLOOKUP(Table257519913140106110151155170178204223[[#This Row],[PEG]],Table1016[#All],3,FALSE)</f>
        <v>#N/A</v>
      </c>
    </row>
    <row r="39" spans="1:5">
      <c r="A39" s="114">
        <v>32</v>
      </c>
      <c r="B39" s="110" t="s">
        <v>12</v>
      </c>
      <c r="C39" s="105" t="e">
        <f>VLOOKUP(Table257519913140106110151155170178204223[[#This Row],[PEG]],Table1016[#All],2,FALSE)</f>
        <v>#N/A</v>
      </c>
      <c r="D39" s="113"/>
      <c r="E39" s="122" t="e">
        <f>VLOOKUP(Table257519913140106110151155170178204223[[#This Row],[PEG]],Table1016[#All],3,FALSE)</f>
        <v>#N/A</v>
      </c>
    </row>
    <row r="40" spans="1:5">
      <c r="A40" s="114">
        <v>33</v>
      </c>
      <c r="B40" s="110" t="s">
        <v>12</v>
      </c>
      <c r="C40" s="105" t="e">
        <f>VLOOKUP(Table257519913140106110151155170178204223[[#This Row],[PEG]],Table1016[#All],2,FALSE)</f>
        <v>#N/A</v>
      </c>
      <c r="D40" s="113"/>
      <c r="E40" s="122" t="e">
        <f>VLOOKUP(Table257519913140106110151155170178204223[[#This Row],[PEG]],Table1016[#All],3,FALSE)</f>
        <v>#N/A</v>
      </c>
    </row>
    <row r="41" spans="1:5">
      <c r="A41" s="114">
        <v>34</v>
      </c>
      <c r="B41" s="110" t="s">
        <v>115</v>
      </c>
      <c r="C41" s="105" t="e">
        <f>VLOOKUP(Table257519913140106110151155170178204223[[#This Row],[PEG]],Table1016[#All],2,FALSE)</f>
        <v>#N/A</v>
      </c>
      <c r="D41" s="113"/>
      <c r="E41" s="122" t="e">
        <f>VLOOKUP(Table257519913140106110151155170178204223[[#This Row],[PEG]],Table1016[#All],3,FALSE)</f>
        <v>#N/A</v>
      </c>
    </row>
    <row r="42" spans="1:5">
      <c r="A42" s="114">
        <v>35</v>
      </c>
      <c r="B42" s="110" t="s">
        <v>12</v>
      </c>
      <c r="C42" s="105" t="e">
        <f>VLOOKUP(Table257519913140106110151155170178204223[[#This Row],[PEG]],Table1016[#All],2,FALSE)</f>
        <v>#N/A</v>
      </c>
      <c r="D42" s="111"/>
      <c r="E42" s="122" t="e">
        <f>VLOOKUP(Table257519913140106110151155170178204223[[#This Row],[PEG]],Table1016[#All],3,FALSE)</f>
        <v>#N/A</v>
      </c>
    </row>
    <row r="43" spans="1:5">
      <c r="A43" s="114">
        <v>36</v>
      </c>
      <c r="B43" s="110" t="s">
        <v>115</v>
      </c>
      <c r="C43" s="105" t="e">
        <f>VLOOKUP(Table257519913140106110151155170178204223[[#This Row],[PEG]],Table1016[#All],2,FALSE)</f>
        <v>#N/A</v>
      </c>
      <c r="D43" s="111"/>
      <c r="E43" s="122" t="e">
        <f>VLOOKUP(Table257519913140106110151155170178204223[[#This Row],[PEG]],Table1016[#All],3,FALSE)</f>
        <v>#N/A</v>
      </c>
    </row>
    <row r="44" spans="1:5">
      <c r="A44" s="114">
        <v>37</v>
      </c>
      <c r="B44" s="110" t="s">
        <v>13</v>
      </c>
      <c r="C44" s="17" t="s">
        <v>13</v>
      </c>
      <c r="D44" s="111"/>
      <c r="E44" s="31"/>
    </row>
  </sheetData>
  <mergeCells count="1">
    <mergeCell ref="A1:B1"/>
  </mergeCells>
  <conditionalFormatting sqref="B8:B18">
    <cfRule type="containsText" dxfId="1098" priority="1" operator="containsText" text="Hear">
      <formula>NOT(ISERROR(SEARCH("Hear",B8)))</formula>
    </cfRule>
  </conditionalFormatting>
  <conditionalFormatting sqref="B30">
    <cfRule type="containsText" dxfId="1097" priority="4" operator="containsText" text="Hear">
      <formula>NOT(ISERROR(SEARCH("Hear",B30)))</formula>
    </cfRule>
  </conditionalFormatting>
  <conditionalFormatting sqref="B43:B44">
    <cfRule type="containsText" dxfId="1096" priority="8" operator="containsText" text="Hear">
      <formula>NOT(ISERROR(SEARCH("Hear",B43)))</formula>
    </cfRule>
  </conditionalFormatting>
  <conditionalFormatting sqref="E44">
    <cfRule type="containsText" dxfId="1095" priority="6" operator="containsText" text="WEB SERVICE">
      <formula>NOT(ISERROR(SEARCH("WEB SERVICE",E44)))</formula>
    </cfRule>
    <cfRule type="containsText" dxfId="1094" priority="7" operator="containsText" text="DB">
      <formula>NOT(ISERROR(SEARCH("DB",E44)))</formula>
    </cfRule>
  </conditionalFormatting>
  <conditionalFormatting sqref="C44">
    <cfRule type="expression" dxfId="1093" priority="9">
      <formula>$B44="Dial"</formula>
    </cfRule>
  </conditionalFormatting>
  <conditionalFormatting sqref="C44">
    <cfRule type="expression" dxfId="1092" priority="3">
      <formula>$B44="Speak"</formula>
    </cfRule>
  </conditionalFormatting>
  <conditionalFormatting sqref="B19:B29 B31:B35 B42">
    <cfRule type="containsText" dxfId="1091" priority="5" operator="containsText" text="Hear">
      <formula>NOT(ISERROR(SEARCH("Hear",B19)))</formula>
    </cfRule>
  </conditionalFormatting>
  <hyperlinks>
    <hyperlink ref="A1" location="'Test Case Overview'!A1" display="Return to Test Case Overview" xr:uid="{00000000-0004-0000-9D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107C6D83-B24C-4DB0-967C-062089CF74E2}">
            <xm:f>'TC1'!$B8="HANGUP"</xm:f>
            <x14:dxf>
              <font>
                <b/>
                <i val="0"/>
              </font>
            </x14:dxf>
          </x14:cfRule>
          <xm:sqref>C8</xm:sqref>
        </x14:conditionalFormatting>
        <x14:conditionalFormatting xmlns:xm="http://schemas.microsoft.com/office/excel/2006/main">
          <x14:cfRule type="expression" priority="3277" id="{107C6D83-B24C-4DB0-967C-062089CF74E2}">
            <xm:f>'TC1'!$B14="HANGUP"</xm:f>
            <x14:dxf>
              <font>
                <b/>
                <i val="0"/>
              </font>
            </x14:dxf>
          </x14:cfRule>
          <xm:sqref>C34:C43</xm:sqref>
        </x14:conditionalFormatting>
        <x14:conditionalFormatting xmlns:xm="http://schemas.microsoft.com/office/excel/2006/main">
          <x14:cfRule type="expression" priority="3278" id="{107C6D83-B24C-4DB0-967C-062089CF74E2}">
            <xm:f>'TC1'!#REF!="HANGUP"</xm:f>
            <x14:dxf>
              <font>
                <b/>
                <i val="0"/>
              </font>
            </x14:dxf>
          </x14:cfRule>
          <xm:sqref>C13:C33</xm:sqref>
        </x14:conditionalFormatting>
        <x14:conditionalFormatting xmlns:xm="http://schemas.microsoft.com/office/excel/2006/main">
          <x14:cfRule type="expression" priority="4565" id="{107C6D83-B24C-4DB0-967C-062089CF74E2}">
            <xm:f>'TC1'!$B10="HANGUP"</xm:f>
            <x14:dxf>
              <font>
                <b/>
                <i val="0"/>
              </font>
            </x14:dxf>
          </x14:cfRule>
          <xm:sqref>C9:C12</xm:sqref>
        </x14:conditionalFormatting>
      </x14:conditionalFormattings>
    </ext>
  </extLst>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sheetPr codeName="Sheet160"/>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TC158</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VLOOKUP(Table257519913140106110151155170178204225[[#This Row],[PEG]],Table1016[#All],2,FALSE)</f>
        <v>#N/A</v>
      </c>
      <c r="D9" s="125"/>
      <c r="E9" s="122" t="e">
        <f>VLOOKUP(Table257519913140106110151155170178204225[[#This Row],[PEG]],Table1016[#All],3,FALSE)</f>
        <v>#N/A</v>
      </c>
    </row>
    <row r="10" spans="1:5">
      <c r="A10" s="114">
        <v>3</v>
      </c>
      <c r="B10" s="110" t="s">
        <v>115</v>
      </c>
      <c r="C10" s="105" t="e">
        <f>VLOOKUP(Table257519913140106110151155170178204225[[#This Row],[PEG]],Table1016[#All],2,FALSE)</f>
        <v>#N/A</v>
      </c>
      <c r="D10" s="125"/>
      <c r="E10" s="122" t="e">
        <f>VLOOKUP(Table257519913140106110151155170178204225[[#This Row],[PEG]],Table1016[#All],3,FALSE)</f>
        <v>#N/A</v>
      </c>
    </row>
    <row r="11" spans="1:5">
      <c r="A11" s="114">
        <v>4</v>
      </c>
      <c r="B11" s="110" t="s">
        <v>115</v>
      </c>
      <c r="C11" s="105" t="e">
        <f>VLOOKUP(Table257519913140106110151155170178204225[[#This Row],[PEG]],Table1016[#All],2,FALSE)</f>
        <v>#N/A</v>
      </c>
      <c r="D11" s="125"/>
      <c r="E11" s="122" t="e">
        <f>VLOOKUP(Table257519913140106110151155170178204225[[#This Row],[PEG]],Table1016[#All],3,FALSE)</f>
        <v>#N/A</v>
      </c>
    </row>
    <row r="12" spans="1:5">
      <c r="A12" s="114">
        <v>5</v>
      </c>
      <c r="B12" s="110" t="s">
        <v>114</v>
      </c>
      <c r="C12" s="105" t="e">
        <f>VLOOKUP(Table257519913140106110151155170178204225[[#This Row],[PEG]],Table1016[#All],2,FALSE)</f>
        <v>#N/A</v>
      </c>
      <c r="D12" s="125"/>
      <c r="E12" s="122" t="e">
        <f>VLOOKUP(Table257519913140106110151155170178204225[[#This Row],[PEG]],Table1016[#All],3,FALSE)</f>
        <v>#N/A</v>
      </c>
    </row>
    <row r="13" spans="1:5">
      <c r="A13" s="114">
        <v>6</v>
      </c>
      <c r="B13" s="110" t="s">
        <v>115</v>
      </c>
      <c r="C13" s="105" t="e">
        <f>VLOOKUP(Table257519913140106110151155170178204225[[#This Row],[PEG]],Table1016[#All],2,FALSE)</f>
        <v>#N/A</v>
      </c>
      <c r="D13" s="125"/>
      <c r="E13" s="122" t="e">
        <f>VLOOKUP(Table257519913140106110151155170178204225[[#This Row],[PEG]],Table1016[#All],3,FALSE)</f>
        <v>#N/A</v>
      </c>
    </row>
    <row r="14" spans="1:5">
      <c r="A14" s="114">
        <v>7</v>
      </c>
      <c r="B14" s="110" t="s">
        <v>114</v>
      </c>
      <c r="C14" s="105" t="e">
        <f>VLOOKUP(Table257519913140106110151155170178204225[[#This Row],[PEG]],Table1016[#All],2,FALSE)</f>
        <v>#N/A</v>
      </c>
      <c r="D14" s="125"/>
      <c r="E14" s="122" t="e">
        <f>VLOOKUP(Table257519913140106110151155170178204225[[#This Row],[PEG]],Table1016[#All],3,FALSE)</f>
        <v>#N/A</v>
      </c>
    </row>
    <row r="15" spans="1:5">
      <c r="A15" s="114">
        <v>8</v>
      </c>
      <c r="B15" s="110" t="s">
        <v>115</v>
      </c>
      <c r="C15" s="105" t="e">
        <f>VLOOKUP(Table257519913140106110151155170178204225[[#This Row],[PEG]],Table1016[#All],2,FALSE)</f>
        <v>#N/A</v>
      </c>
      <c r="D15" s="112"/>
      <c r="E15" s="122" t="e">
        <f>VLOOKUP(Table257519913140106110151155170178204225[[#This Row],[PEG]],Table1016[#All],3,FALSE)</f>
        <v>#N/A</v>
      </c>
    </row>
    <row r="16" spans="1:5">
      <c r="A16" s="114">
        <v>9</v>
      </c>
      <c r="B16" s="110" t="s">
        <v>12</v>
      </c>
      <c r="C16" s="105" t="e">
        <f>VLOOKUP(Table257519913140106110151155170178204225[[#This Row],[PEG]],Table1016[#All],2,FALSE)</f>
        <v>#N/A</v>
      </c>
      <c r="D16" s="112"/>
      <c r="E16" s="122" t="e">
        <f>VLOOKUP(Table257519913140106110151155170178204225[[#This Row],[PEG]],Table1016[#All],3,FALSE)</f>
        <v>#N/A</v>
      </c>
    </row>
    <row r="17" spans="1:5">
      <c r="A17" s="114">
        <v>10</v>
      </c>
      <c r="B17" s="110" t="s">
        <v>12</v>
      </c>
      <c r="C17" s="105" t="e">
        <f>VLOOKUP(Table257519913140106110151155170178204225[[#This Row],[PEG]],Table1016[#All],2,FALSE)</f>
        <v>#N/A</v>
      </c>
      <c r="D17" s="113"/>
      <c r="E17" s="122" t="e">
        <f>VLOOKUP(Table257519913140106110151155170178204225[[#This Row],[PEG]],Table1016[#All],3,FALSE)</f>
        <v>#N/A</v>
      </c>
    </row>
    <row r="18" spans="1:5">
      <c r="A18" s="114">
        <v>11</v>
      </c>
      <c r="B18" s="110" t="s">
        <v>115</v>
      </c>
      <c r="C18" s="105" t="e">
        <f>VLOOKUP(Table257519913140106110151155170178204225[[#This Row],[PEG]],Table1016[#All],2,FALSE)</f>
        <v>#N/A</v>
      </c>
      <c r="D18" s="113"/>
      <c r="E18" s="122" t="e">
        <f>VLOOKUP(Table257519913140106110151155170178204225[[#This Row],[PEG]],Table1016[#All],3,FALSE)</f>
        <v>#N/A</v>
      </c>
    </row>
    <row r="19" spans="1:5">
      <c r="A19" s="114">
        <v>12</v>
      </c>
      <c r="B19" s="110" t="s">
        <v>115</v>
      </c>
      <c r="C19" s="105" t="e">
        <f>VLOOKUP(Table257519913140106110151155170178204225[[#This Row],[PEG]],Table1016[#All],2,FALSE)</f>
        <v>#N/A</v>
      </c>
      <c r="D19" s="113"/>
      <c r="E19" s="122" t="e">
        <f>VLOOKUP(Table257519913140106110151155170178204225[[#This Row],[PEG]],Table1016[#All],3,FALSE)</f>
        <v>#N/A</v>
      </c>
    </row>
    <row r="20" spans="1:5">
      <c r="A20" s="114">
        <v>13</v>
      </c>
      <c r="B20" s="110" t="s">
        <v>114</v>
      </c>
      <c r="C20" s="105" t="e">
        <f>VLOOKUP(Table257519913140106110151155170178204225[[#This Row],[PEG]],Table1016[#All],2,FALSE)</f>
        <v>#N/A</v>
      </c>
      <c r="D20" s="113"/>
      <c r="E20" s="122" t="e">
        <f>VLOOKUP(Table257519913140106110151155170178204225[[#This Row],[PEG]],Table1016[#All],3,FALSE)</f>
        <v>#N/A</v>
      </c>
    </row>
    <row r="21" spans="1:5">
      <c r="A21" s="114">
        <v>14</v>
      </c>
      <c r="B21" s="110" t="s">
        <v>12</v>
      </c>
      <c r="C21" s="105" t="e">
        <f>VLOOKUP(Table257519913140106110151155170178204225[[#This Row],[PEG]],Table1016[#All],2,FALSE)</f>
        <v>#N/A</v>
      </c>
      <c r="D21" s="113"/>
      <c r="E21" s="122" t="e">
        <f>VLOOKUP(Table257519913140106110151155170178204225[[#This Row],[PEG]],Table1016[#All],3,FALSE)</f>
        <v>#N/A</v>
      </c>
    </row>
    <row r="22" spans="1:5">
      <c r="A22" s="114">
        <v>15</v>
      </c>
      <c r="B22" s="110" t="s">
        <v>12</v>
      </c>
      <c r="C22" s="105" t="e">
        <f>VLOOKUP(Table257519913140106110151155170178204225[[#This Row],[PEG]],Table1016[#All],2,FALSE)</f>
        <v>#N/A</v>
      </c>
      <c r="D22" s="113"/>
      <c r="E22" s="122" t="e">
        <f>VLOOKUP(Table257519913140106110151155170178204225[[#This Row],[PEG]],Table1016[#All],3,FALSE)</f>
        <v>#N/A</v>
      </c>
    </row>
    <row r="23" spans="1:5">
      <c r="A23" s="114">
        <v>16</v>
      </c>
      <c r="B23" s="110" t="s">
        <v>115</v>
      </c>
      <c r="C23" s="105" t="e">
        <f>VLOOKUP(Table257519913140106110151155170178204225[[#This Row],[PEG]],Table1016[#All],2,FALSE)</f>
        <v>#N/A</v>
      </c>
      <c r="D23" s="113"/>
      <c r="E23" s="122" t="e">
        <f>VLOOKUP(Table257519913140106110151155170178204225[[#This Row],[PEG]],Table1016[#All],3,FALSE)</f>
        <v>#N/A</v>
      </c>
    </row>
    <row r="24" spans="1:5">
      <c r="A24" s="114">
        <v>17</v>
      </c>
      <c r="B24" s="110" t="s">
        <v>114</v>
      </c>
      <c r="C24" s="105" t="e">
        <f>VLOOKUP(Table257519913140106110151155170178204225[[#This Row],[PEG]],Table1016[#All],2,FALSE)</f>
        <v>#N/A</v>
      </c>
      <c r="D24" s="113"/>
      <c r="E24" s="122" t="e">
        <f>VLOOKUP(Table257519913140106110151155170178204225[[#This Row],[PEG]],Table1016[#All],3,FALSE)</f>
        <v>#N/A</v>
      </c>
    </row>
    <row r="25" spans="1:5">
      <c r="A25" s="114">
        <v>18</v>
      </c>
      <c r="B25" s="110" t="s">
        <v>12</v>
      </c>
      <c r="C25" s="105" t="e">
        <f>VLOOKUP(Table257519913140106110151155170178204225[[#This Row],[PEG]],Table1016[#All],2,FALSE)</f>
        <v>#N/A</v>
      </c>
      <c r="D25" s="113"/>
      <c r="E25" s="122" t="e">
        <f>VLOOKUP(Table257519913140106110151155170178204225[[#This Row],[PEG]],Table1016[#All],3,FALSE)</f>
        <v>#N/A</v>
      </c>
    </row>
    <row r="26" spans="1:5">
      <c r="A26" s="114">
        <v>19</v>
      </c>
      <c r="B26" s="110" t="s">
        <v>12</v>
      </c>
      <c r="C26" s="105" t="e">
        <f>VLOOKUP(Table257519913140106110151155170178204225[[#This Row],[PEG]],Table1016[#All],2,FALSE)</f>
        <v>#N/A</v>
      </c>
      <c r="D26" s="113"/>
      <c r="E26" s="122" t="e">
        <f>VLOOKUP(Table257519913140106110151155170178204225[[#This Row],[PEG]],Table1016[#All],3,FALSE)</f>
        <v>#N/A</v>
      </c>
    </row>
    <row r="27" spans="1:5">
      <c r="A27" s="114">
        <v>20</v>
      </c>
      <c r="B27" s="110" t="s">
        <v>115</v>
      </c>
      <c r="C27" s="105" t="e">
        <f>VLOOKUP(Table257519913140106110151155170178204225[[#This Row],[PEG]],Table1016[#All],2,FALSE)</f>
        <v>#N/A</v>
      </c>
      <c r="D27" s="113"/>
      <c r="E27" s="122" t="e">
        <f>VLOOKUP(Table257519913140106110151155170178204225[[#This Row],[PEG]],Table1016[#All],3,FALSE)</f>
        <v>#N/A</v>
      </c>
    </row>
    <row r="28" spans="1:5">
      <c r="A28" s="114">
        <v>21</v>
      </c>
      <c r="B28" s="110" t="s">
        <v>114</v>
      </c>
      <c r="C28" s="105" t="e">
        <f>VLOOKUP(Table257519913140106110151155170178204225[[#This Row],[PEG]],Table1016[#All],2,FALSE)</f>
        <v>#N/A</v>
      </c>
      <c r="D28" s="113"/>
      <c r="E28" s="122" t="e">
        <f>VLOOKUP(Table257519913140106110151155170178204225[[#This Row],[PEG]],Table1016[#All],3,FALSE)</f>
        <v>#N/A</v>
      </c>
    </row>
    <row r="29" spans="1:5">
      <c r="A29" s="114">
        <v>22</v>
      </c>
      <c r="B29" s="110" t="s">
        <v>12</v>
      </c>
      <c r="C29" s="105" t="e">
        <f>VLOOKUP(Table257519913140106110151155170178204225[[#This Row],[PEG]],Table1016[#All],2,FALSE)</f>
        <v>#N/A</v>
      </c>
      <c r="D29" s="113"/>
      <c r="E29" s="122" t="e">
        <f>VLOOKUP(Table257519913140106110151155170178204225[[#This Row],[PEG]],Table1016[#All],3,FALSE)</f>
        <v>#N/A</v>
      </c>
    </row>
    <row r="30" spans="1:5">
      <c r="A30" s="114">
        <v>23</v>
      </c>
      <c r="B30" s="110" t="s">
        <v>12</v>
      </c>
      <c r="C30" s="105" t="e">
        <f>VLOOKUP(Table257519913140106110151155170178204225[[#This Row],[PEG]],Table1016[#All],2,FALSE)</f>
        <v>#N/A</v>
      </c>
      <c r="D30" s="113"/>
      <c r="E30" s="122" t="e">
        <f>VLOOKUP(Table257519913140106110151155170178204225[[#This Row],[PEG]],Table1016[#All],3,FALSE)</f>
        <v>#N/A</v>
      </c>
    </row>
    <row r="31" spans="1:5">
      <c r="A31" s="114">
        <v>24</v>
      </c>
      <c r="B31" s="110" t="s">
        <v>115</v>
      </c>
      <c r="C31" s="105" t="e">
        <f>VLOOKUP(Table257519913140106110151155170178204225[[#This Row],[PEG]],Table1016[#All],2,FALSE)</f>
        <v>#N/A</v>
      </c>
      <c r="D31" s="113"/>
      <c r="E31" s="122" t="e">
        <f>VLOOKUP(Table257519913140106110151155170178204225[[#This Row],[PEG]],Table1016[#All],3,FALSE)</f>
        <v>#N/A</v>
      </c>
    </row>
    <row r="32" spans="1:5">
      <c r="A32" s="114">
        <v>25</v>
      </c>
      <c r="B32" s="110" t="s">
        <v>115</v>
      </c>
      <c r="C32" s="105" t="e">
        <f>VLOOKUP(Table257519913140106110151155170178204225[[#This Row],[PEG]],Table1016[#All],2,FALSE)</f>
        <v>#N/A</v>
      </c>
      <c r="D32" s="113"/>
      <c r="E32" s="122" t="e">
        <f>VLOOKUP(Table257519913140106110151155170178204225[[#This Row],[PEG]],Table1016[#All],3,FALSE)</f>
        <v>#N/A</v>
      </c>
    </row>
    <row r="33" spans="1:5">
      <c r="A33" s="114">
        <v>26</v>
      </c>
      <c r="B33" s="110" t="s">
        <v>124</v>
      </c>
      <c r="C33" s="105" t="e">
        <f>VLOOKUP(Table257519913140106110151155170178204225[[#This Row],[PEG]],Table1016[#All],2,FALSE)</f>
        <v>#N/A</v>
      </c>
      <c r="D33" s="113"/>
      <c r="E33" s="122" t="e">
        <f>VLOOKUP(Table257519913140106110151155170178204225[[#This Row],[PEG]],Table1016[#All],3,FALSE)</f>
        <v>#N/A</v>
      </c>
    </row>
    <row r="34" spans="1:5">
      <c r="A34" s="114">
        <v>27</v>
      </c>
      <c r="B34" s="110" t="s">
        <v>115</v>
      </c>
      <c r="C34" s="105" t="e">
        <f>VLOOKUP(Table257519913140106110151155170178204225[[#This Row],[PEG]],Table1016[#All],2,FALSE)</f>
        <v>#N/A</v>
      </c>
      <c r="D34" s="113"/>
      <c r="E34" s="122" t="e">
        <f>VLOOKUP(Table257519913140106110151155170178204225[[#This Row],[PEG]],Table1016[#All],3,FALSE)</f>
        <v>#N/A</v>
      </c>
    </row>
    <row r="35" spans="1:5">
      <c r="A35" s="114">
        <v>28</v>
      </c>
      <c r="B35" s="110" t="s">
        <v>124</v>
      </c>
      <c r="C35" s="105" t="e">
        <f>VLOOKUP(Table257519913140106110151155170178204225[[#This Row],[PEG]],Table1016[#All],2,FALSE)</f>
        <v>#N/A</v>
      </c>
      <c r="D35" s="113"/>
      <c r="E35" s="122" t="e">
        <f>VLOOKUP(Table257519913140106110151155170178204225[[#This Row],[PEG]],Table1016[#All],3,FALSE)</f>
        <v>#N/A</v>
      </c>
    </row>
    <row r="36" spans="1:5">
      <c r="A36" s="114">
        <v>29</v>
      </c>
      <c r="B36" s="110" t="s">
        <v>115</v>
      </c>
      <c r="C36" s="105" t="e">
        <f>VLOOKUP(Table257519913140106110151155170178204225[[#This Row],[PEG]],Table1016[#All],2,FALSE)</f>
        <v>#N/A</v>
      </c>
      <c r="D36" s="113"/>
      <c r="E36" s="122" t="e">
        <f>VLOOKUP(Table257519913140106110151155170178204225[[#This Row],[PEG]],Table1016[#All],3,FALSE)</f>
        <v>#N/A</v>
      </c>
    </row>
    <row r="37" spans="1:5">
      <c r="A37" s="114">
        <v>30</v>
      </c>
      <c r="B37" s="110" t="s">
        <v>12</v>
      </c>
      <c r="C37" s="105" t="e">
        <f>VLOOKUP(Table257519913140106110151155170178204225[[#This Row],[PEG]],Table1016[#All],2,FALSE)</f>
        <v>#N/A</v>
      </c>
      <c r="D37" s="113"/>
      <c r="E37" s="122" t="e">
        <f>VLOOKUP(Table257519913140106110151155170178204225[[#This Row],[PEG]],Table1016[#All],3,FALSE)</f>
        <v>#N/A</v>
      </c>
    </row>
    <row r="38" spans="1:5">
      <c r="A38" s="114">
        <v>31</v>
      </c>
      <c r="B38" s="110" t="s">
        <v>12</v>
      </c>
      <c r="C38" s="105" t="e">
        <f>VLOOKUP(Table257519913140106110151155170178204225[[#This Row],[PEG]],Table1016[#All],2,FALSE)</f>
        <v>#N/A</v>
      </c>
      <c r="D38" s="113"/>
      <c r="E38" s="122" t="e">
        <f>VLOOKUP(Table257519913140106110151155170178204225[[#This Row],[PEG]],Table1016[#All],3,FALSE)</f>
        <v>#N/A</v>
      </c>
    </row>
    <row r="39" spans="1:5">
      <c r="A39" s="114">
        <v>32</v>
      </c>
      <c r="B39" s="110" t="s">
        <v>12</v>
      </c>
      <c r="C39" s="105" t="e">
        <f>VLOOKUP(Table257519913140106110151155170178204225[[#This Row],[PEG]],Table1016[#All],2,FALSE)</f>
        <v>#N/A</v>
      </c>
      <c r="D39" s="113"/>
      <c r="E39" s="122" t="e">
        <f>VLOOKUP(Table257519913140106110151155170178204225[[#This Row],[PEG]],Table1016[#All],3,FALSE)</f>
        <v>#N/A</v>
      </c>
    </row>
    <row r="40" spans="1:5">
      <c r="A40" s="114">
        <v>33</v>
      </c>
      <c r="B40" s="110" t="s">
        <v>12</v>
      </c>
      <c r="C40" s="105" t="e">
        <f>VLOOKUP(Table257519913140106110151155170178204225[[#This Row],[PEG]],Table1016[#All],2,FALSE)</f>
        <v>#N/A</v>
      </c>
      <c r="D40" s="113"/>
      <c r="E40" s="122" t="e">
        <f>VLOOKUP(Table257519913140106110151155170178204225[[#This Row],[PEG]],Table1016[#All],3,FALSE)</f>
        <v>#N/A</v>
      </c>
    </row>
    <row r="41" spans="1:5">
      <c r="A41" s="114">
        <v>34</v>
      </c>
      <c r="B41" s="110" t="s">
        <v>115</v>
      </c>
      <c r="C41" s="105" t="e">
        <f>VLOOKUP(Table257519913140106110151155170178204225[[#This Row],[PEG]],Table1016[#All],2,FALSE)</f>
        <v>#N/A</v>
      </c>
      <c r="D41" s="113"/>
      <c r="E41" s="122" t="e">
        <f>VLOOKUP(Table257519913140106110151155170178204225[[#This Row],[PEG]],Table1016[#All],3,FALSE)</f>
        <v>#N/A</v>
      </c>
    </row>
    <row r="42" spans="1:5">
      <c r="A42" s="114">
        <v>35</v>
      </c>
      <c r="B42" s="110" t="s">
        <v>12</v>
      </c>
      <c r="C42" s="105" t="e">
        <f>VLOOKUP(Table257519913140106110151155170178204225[[#This Row],[PEG]],Table1016[#All],2,FALSE)</f>
        <v>#N/A</v>
      </c>
      <c r="D42" s="111"/>
      <c r="E42" s="122" t="e">
        <f>VLOOKUP(Table257519913140106110151155170178204225[[#This Row],[PEG]],Table1016[#All],3,FALSE)</f>
        <v>#N/A</v>
      </c>
    </row>
    <row r="43" spans="1:5">
      <c r="A43" s="114">
        <v>36</v>
      </c>
      <c r="B43" s="110" t="s">
        <v>115</v>
      </c>
      <c r="C43" s="105" t="e">
        <f>VLOOKUP(Table257519913140106110151155170178204225[[#This Row],[PEG]],Table1016[#All],2,FALSE)</f>
        <v>#N/A</v>
      </c>
      <c r="D43" s="111"/>
      <c r="E43" s="122" t="e">
        <f>VLOOKUP(Table257519913140106110151155170178204225[[#This Row],[PEG]],Table1016[#All],3,FALSE)</f>
        <v>#N/A</v>
      </c>
    </row>
    <row r="44" spans="1:5">
      <c r="A44" s="114">
        <v>37</v>
      </c>
      <c r="B44" s="110" t="s">
        <v>13</v>
      </c>
      <c r="C44" s="17" t="s">
        <v>13</v>
      </c>
      <c r="D44" s="111"/>
      <c r="E44" s="31"/>
    </row>
  </sheetData>
  <mergeCells count="1">
    <mergeCell ref="A1:B1"/>
  </mergeCells>
  <conditionalFormatting sqref="B8:B18">
    <cfRule type="containsText" dxfId="1077" priority="1" operator="containsText" text="Hear">
      <formula>NOT(ISERROR(SEARCH("Hear",B8)))</formula>
    </cfRule>
  </conditionalFormatting>
  <conditionalFormatting sqref="B30">
    <cfRule type="containsText" dxfId="1076" priority="4" operator="containsText" text="Hear">
      <formula>NOT(ISERROR(SEARCH("Hear",B30)))</formula>
    </cfRule>
  </conditionalFormatting>
  <conditionalFormatting sqref="B43:B44">
    <cfRule type="containsText" dxfId="1075" priority="8" operator="containsText" text="Hear">
      <formula>NOT(ISERROR(SEARCH("Hear",B43)))</formula>
    </cfRule>
  </conditionalFormatting>
  <conditionalFormatting sqref="E44">
    <cfRule type="containsText" dxfId="1074" priority="6" operator="containsText" text="WEB SERVICE">
      <formula>NOT(ISERROR(SEARCH("WEB SERVICE",E44)))</formula>
    </cfRule>
    <cfRule type="containsText" dxfId="1073" priority="7" operator="containsText" text="DB">
      <formula>NOT(ISERROR(SEARCH("DB",E44)))</formula>
    </cfRule>
  </conditionalFormatting>
  <conditionalFormatting sqref="C44">
    <cfRule type="expression" dxfId="1072" priority="9">
      <formula>$B44="Dial"</formula>
    </cfRule>
  </conditionalFormatting>
  <conditionalFormatting sqref="C44">
    <cfRule type="expression" dxfId="1071" priority="3">
      <formula>$B44="Speak"</formula>
    </cfRule>
  </conditionalFormatting>
  <conditionalFormatting sqref="B19:B29 B31:B35 B42">
    <cfRule type="containsText" dxfId="1070" priority="5" operator="containsText" text="Hear">
      <formula>NOT(ISERROR(SEARCH("Hear",B19)))</formula>
    </cfRule>
  </conditionalFormatting>
  <hyperlinks>
    <hyperlink ref="A1" location="'Test Case Overview'!A1" display="Return to Test Case Overview" xr:uid="{00000000-0004-0000-9E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460A0833-2DB5-43E7-8E67-4953D4E86A7D}">
            <xm:f>'TC1'!$B8="HANGUP"</xm:f>
            <x14:dxf>
              <font>
                <b/>
                <i val="0"/>
              </font>
            </x14:dxf>
          </x14:cfRule>
          <xm:sqref>C8</xm:sqref>
        </x14:conditionalFormatting>
        <x14:conditionalFormatting xmlns:xm="http://schemas.microsoft.com/office/excel/2006/main">
          <x14:cfRule type="expression" priority="3281" id="{460A0833-2DB5-43E7-8E67-4953D4E86A7D}">
            <xm:f>'TC1'!$B14="HANGUP"</xm:f>
            <x14:dxf>
              <font>
                <b/>
                <i val="0"/>
              </font>
            </x14:dxf>
          </x14:cfRule>
          <xm:sqref>C34:C43</xm:sqref>
        </x14:conditionalFormatting>
        <x14:conditionalFormatting xmlns:xm="http://schemas.microsoft.com/office/excel/2006/main">
          <x14:cfRule type="expression" priority="3282" id="{460A0833-2DB5-43E7-8E67-4953D4E86A7D}">
            <xm:f>'TC1'!#REF!="HANGUP"</xm:f>
            <x14:dxf>
              <font>
                <b/>
                <i val="0"/>
              </font>
            </x14:dxf>
          </x14:cfRule>
          <xm:sqref>C13:C33</xm:sqref>
        </x14:conditionalFormatting>
        <x14:conditionalFormatting xmlns:xm="http://schemas.microsoft.com/office/excel/2006/main">
          <x14:cfRule type="expression" priority="4567" id="{460A0833-2DB5-43E7-8E67-4953D4E86A7D}">
            <xm:f>'TC1'!$B10="HANGUP"</xm:f>
            <x14:dxf>
              <font>
                <b/>
                <i val="0"/>
              </font>
            </x14:dxf>
          </x14:cfRule>
          <xm:sqref>C9:C12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dimension ref="A1:E41"/>
  <sheetViews>
    <sheetView zoomScaleNormal="100" workbookViewId="0">
      <selection activeCell="C14" sqref="C14"/>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TC15</v>
      </c>
    </row>
    <row r="3" spans="1:5">
      <c r="A3" s="100" t="s">
        <v>19</v>
      </c>
      <c r="B3" s="108">
        <f ca="1">VLOOKUP(B2,Table1[#All],2,FALSE)</f>
        <v>0</v>
      </c>
    </row>
    <row r="4" spans="1:5" ht="45">
      <c r="A4" s="109" t="s">
        <v>20</v>
      </c>
      <c r="B4" s="95" t="str">
        <f ca="1">VLOOKUP(B2,Table1[#All],4,FALSE)</f>
        <v xml:space="preserve">svcArea=titleSvcs, serviceType=checkStatus, Completed=Yes,&gt; 15 days ago,  OFS02 change completed, need OFS04 fail </v>
      </c>
    </row>
    <row r="5" spans="1:5" ht="30">
      <c r="A5" s="100" t="s">
        <v>6</v>
      </c>
      <c r="B5" s="89" t="str">
        <f ca="1">VLOOKUP(B2,Table1[#All],3,FALSE)</f>
        <v>CallStart Main Menu /Title /CheckStatus/ID Auth=True/ Yes Letter/OFSO4 fails Xfer</v>
      </c>
    </row>
    <row r="7" spans="1:5" ht="15.75">
      <c r="A7" s="96" t="s">
        <v>7</v>
      </c>
      <c r="B7" s="97" t="s">
        <v>8</v>
      </c>
      <c r="C7" s="98" t="s">
        <v>9</v>
      </c>
      <c r="D7" s="98" t="s">
        <v>14</v>
      </c>
      <c r="E7" s="99" t="s">
        <v>10</v>
      </c>
    </row>
    <row r="8" spans="1:5" s="93" customFormat="1">
      <c r="A8" s="114">
        <v>1</v>
      </c>
      <c r="B8" s="110" t="s">
        <v>114</v>
      </c>
      <c r="C8" s="124" t="s">
        <v>125</v>
      </c>
      <c r="D8" s="125"/>
      <c r="E8" s="122" t="s">
        <v>11</v>
      </c>
    </row>
    <row r="9" spans="1:5" s="93" customFormat="1">
      <c r="A9" s="114">
        <v>2</v>
      </c>
      <c r="B9" s="110" t="s">
        <v>115</v>
      </c>
      <c r="C9" s="105" t="str">
        <f>VLOOKUP(Table25755252691013[[#This Row],[PEG]],Table1016[#All],2,FALSE)</f>
        <v>CallID.wav Call ID &lt;CallID&gt;</v>
      </c>
      <c r="D9" s="152" t="s">
        <v>477</v>
      </c>
      <c r="E9" s="122" t="str">
        <f>VLOOKUP(Table25755252691013[[#This Row],[PEG]],Table1016[#All],3,FALSE)</f>
        <v>TEST</v>
      </c>
    </row>
    <row r="10" spans="1:5" s="93" customFormat="1" ht="30">
      <c r="A10" s="114">
        <v>3</v>
      </c>
      <c r="B10" s="110" t="s">
        <v>115</v>
      </c>
      <c r="C10" s="105" t="str">
        <f>VLOOKUP(Table25755252691013[[#This Row],[PEG]],Table1016[#All],2,FALSE)</f>
        <v>0100.wav Thank you for calling Shell vacations Club, we are glad you called. Please have your account number available for faster service. [To continue in Spanish, press 9]</v>
      </c>
      <c r="D10" s="152">
        <v>100</v>
      </c>
      <c r="E10" s="122" t="str">
        <f>VLOOKUP(Table25755252691013[[#This Row],[PEG]],Table1016[#All],3,FALSE)</f>
        <v>PLAY PROMPT</v>
      </c>
    </row>
    <row r="11" spans="1:5" s="93" customFormat="1" ht="30">
      <c r="A11" s="114">
        <v>4</v>
      </c>
      <c r="B11" s="110" t="s">
        <v>115</v>
      </c>
      <c r="C11" s="105" t="str">
        <f>VLOOKUP(Table25755252691013[[#This Row],[PEG]],Table1016[#All],2,FALSE)</f>
        <v>0110-1.wav Which would you like? You can say... reservations, payments &amp; statements, title &amp; ownership changes, or more options.</v>
      </c>
      <c r="D11" s="152">
        <v>110</v>
      </c>
      <c r="E11" s="122" t="str">
        <f>VLOOKUP(Table25755252691013[[#This Row],[PEG]],Table1016[#All],3,FALSE)</f>
        <v>MENU PROMPT</v>
      </c>
    </row>
    <row r="12" spans="1:5" s="93" customFormat="1">
      <c r="A12" s="114">
        <v>5</v>
      </c>
      <c r="B12" s="110" t="s">
        <v>124</v>
      </c>
      <c r="C12" s="105" t="s">
        <v>506</v>
      </c>
      <c r="D12" s="152"/>
      <c r="E12" s="122" t="e">
        <f>VLOOKUP(Table25755252691013[[#This Row],[PEG]],Table1016[#All],3,FALSE)</f>
        <v>#N/A</v>
      </c>
    </row>
    <row r="13" spans="1:5" s="93" customFormat="1" ht="30">
      <c r="A13" s="114">
        <v>6</v>
      </c>
      <c r="B13" s="110" t="s">
        <v>115</v>
      </c>
      <c r="C13" s="105" t="str">
        <f>VLOOKUP(Table25755252691013[[#This Row],[PEG]],Table1016[#All],2,FALSE)</f>
        <v>0300-1.wav You can say ownership changes, check status, make a payment, or help me with something else. Which would you like?</v>
      </c>
      <c r="D13" s="152">
        <v>300</v>
      </c>
      <c r="E13" s="122" t="str">
        <f>VLOOKUP(Table25755252691013[[#This Row],[PEG]],Table1016[#All],3,FALSE)</f>
        <v>MENU PROMPT</v>
      </c>
    </row>
    <row r="14" spans="1:5" s="93" customFormat="1">
      <c r="A14" s="114">
        <v>7</v>
      </c>
      <c r="B14" s="110" t="s">
        <v>124</v>
      </c>
      <c r="C14" s="105" t="s">
        <v>3</v>
      </c>
      <c r="D14" s="125"/>
      <c r="E14" s="122" t="e">
        <f>VLOOKUP(Table25755252691013[[#This Row],[PEG]],Table1016[#All],3,FALSE)</f>
        <v>#N/A</v>
      </c>
    </row>
    <row r="15" spans="1:5">
      <c r="A15" s="114">
        <v>8</v>
      </c>
      <c r="B15" s="110" t="s">
        <v>115</v>
      </c>
      <c r="C15" s="105" t="str">
        <f>VLOOKUP(Table25755252691013[[#This Row],[PEG]],Table1016[#All],2,FALSE)</f>
        <v>0200-1.wav To get started, what is your account number?</v>
      </c>
      <c r="D15" s="153">
        <v>200</v>
      </c>
      <c r="E15" s="122" t="str">
        <f>VLOOKUP(Table25755252691013[[#This Row],[PEG]],Table1016[#All],3,FALSE)</f>
        <v>MENU PROMPT</v>
      </c>
    </row>
    <row r="16" spans="1:5">
      <c r="A16" s="114">
        <v>9</v>
      </c>
      <c r="B16" s="110" t="s">
        <v>114</v>
      </c>
      <c r="C16" s="105" t="s">
        <v>497</v>
      </c>
      <c r="D16" s="112"/>
      <c r="E16" s="122" t="e">
        <f>VLOOKUP(Table25755252691013[[#This Row],[PEG]],Table1016[#All],3,FALSE)</f>
        <v>#N/A</v>
      </c>
    </row>
    <row r="17" spans="1:5">
      <c r="A17" s="114">
        <v>10</v>
      </c>
      <c r="B17" s="110" t="s">
        <v>115</v>
      </c>
      <c r="C17" s="127" t="str">
        <f>VLOOKUP(Table25755252691013[[#This Row],[PEG]],Table1016[#All],2,FALSE)</f>
        <v>0210-1.wav And the date of birth for the primary owner?</v>
      </c>
      <c r="D17" s="154">
        <v>210</v>
      </c>
      <c r="E17" s="122" t="str">
        <f>VLOOKUP(Table25755252691013[[#This Row],[PEG]],Table1016[#All],3,FALSE)</f>
        <v>MENU PROMPT</v>
      </c>
    </row>
    <row r="18" spans="1:5">
      <c r="A18" s="114">
        <v>11</v>
      </c>
      <c r="B18" s="110" t="s">
        <v>114</v>
      </c>
      <c r="C18" s="105" t="s">
        <v>513</v>
      </c>
      <c r="D18" s="154"/>
      <c r="E18" s="122" t="e">
        <f>VLOOKUP(Table25755252691013[[#This Row],[PEG]],Table1016[#All],3,FALSE)</f>
        <v>#N/A</v>
      </c>
    </row>
    <row r="19" spans="1:5" s="93" customFormat="1" ht="30">
      <c r="A19" s="114">
        <v>12</v>
      </c>
      <c r="B19" s="110" t="s">
        <v>115</v>
      </c>
      <c r="C19" s="105" t="str">
        <f>VLOOKUP(Table25755252691013[[#This Row],[PEG]],Table1016[#All],2,FALSE)</f>
        <v>0310-1.wav Your request to transfer ownership was processed on &lt;date&gt;. Would you like me to send you a copy of the confirmation letter? &lt;pause&gt; If you would like to speak with someone, just say "representative."</v>
      </c>
      <c r="D19" s="154">
        <v>310</v>
      </c>
      <c r="E19" s="122" t="str">
        <f>VLOOKUP(Table25755252691013[[#This Row],[PEG]],Table1016[#All],3,FALSE)</f>
        <v>PLAY PROMPT</v>
      </c>
    </row>
    <row r="20" spans="1:5" s="93" customFormat="1">
      <c r="A20" s="114">
        <v>13</v>
      </c>
      <c r="B20" s="110" t="s">
        <v>115</v>
      </c>
      <c r="C20" s="105" t="str">
        <f>VLOOKUP(Table25755252691013[[#This Row],[PEG]],Table1016[#All],2,FALSE)</f>
        <v>techDiff.wav I'm having trouble.</v>
      </c>
      <c r="D20" s="154" t="s">
        <v>499</v>
      </c>
      <c r="E20" s="122" t="str">
        <f>VLOOKUP(Table25755252691013[[#This Row],[PEG]],Table1016[#All],3,FALSE)</f>
        <v>PLAY PROMPT</v>
      </c>
    </row>
    <row r="21" spans="1:5" s="93" customFormat="1">
      <c r="A21" s="114">
        <v>14</v>
      </c>
      <c r="B21" s="110" t="s">
        <v>115</v>
      </c>
      <c r="C21" s="105" t="str">
        <f>VLOOKUP(Table25755252691013[[#This Row],[PEG]],Table1016[#All],2,FALSE)</f>
        <v>0900.wav Please hold, while I connect you to a customer service representative.</v>
      </c>
      <c r="D21" s="154">
        <v>900</v>
      </c>
      <c r="E21" s="122" t="str">
        <f>VLOOKUP(Table25755252691013[[#This Row],[PEG]],Table1016[#All],3,FALSE)</f>
        <v>PLAY PROMPT</v>
      </c>
    </row>
    <row r="22" spans="1:5">
      <c r="A22" s="114">
        <v>15</v>
      </c>
      <c r="B22" s="110" t="s">
        <v>115</v>
      </c>
      <c r="C22" s="105" t="str">
        <f>VLOOKUP(Table25755252691013[[#This Row],[PEG]],Table1016[#All],2,FALSE)</f>
        <v>XferNbr.wav Transfer Number &lt;TransferNbr&gt;</v>
      </c>
      <c r="D22" s="154" t="s">
        <v>480</v>
      </c>
      <c r="E22" s="31"/>
    </row>
    <row r="23" spans="1:5">
      <c r="A23" s="114">
        <v>16</v>
      </c>
      <c r="B23" s="110" t="s">
        <v>13</v>
      </c>
      <c r="C23" s="146" t="s">
        <v>13</v>
      </c>
      <c r="D23" s="155"/>
      <c r="E23" s="31"/>
    </row>
    <row r="24" spans="1:5">
      <c r="C24" s="25"/>
      <c r="D24" s="107" t="s">
        <v>0</v>
      </c>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5"/>
    </row>
    <row r="39" spans="3:3">
      <c r="C39" s="26"/>
    </row>
    <row r="40" spans="3:3">
      <c r="C40" s="26"/>
    </row>
    <row r="41" spans="3:3">
      <c r="C41" s="26"/>
    </row>
  </sheetData>
  <mergeCells count="1">
    <mergeCell ref="A1:B1"/>
  </mergeCells>
  <conditionalFormatting sqref="E22:E23">
    <cfRule type="containsText" dxfId="6272" priority="43" operator="containsText" text="WEB SERVICE">
      <formula>NOT(ISERROR(SEARCH("WEB SERVICE",E22)))</formula>
    </cfRule>
    <cfRule type="containsText" dxfId="6271" priority="44" operator="containsText" text="DB">
      <formula>NOT(ISERROR(SEARCH("DB",E22)))</formula>
    </cfRule>
  </conditionalFormatting>
  <conditionalFormatting sqref="C24:C9980 C19:C22">
    <cfRule type="expression" dxfId="6270" priority="46">
      <formula>$B19="Dial"</formula>
    </cfRule>
    <cfRule type="expression" dxfId="6269" priority="48">
      <formula>$B19="HANGUP"</formula>
    </cfRule>
  </conditionalFormatting>
  <conditionalFormatting sqref="C8">
    <cfRule type="expression" dxfId="6268" priority="9">
      <formula>$B8="Dial"</formula>
    </cfRule>
    <cfRule type="expression" dxfId="6267" priority="10">
      <formula>$B8="HANGUP"</formula>
    </cfRule>
  </conditionalFormatting>
  <conditionalFormatting sqref="B8:B23">
    <cfRule type="containsText" dxfId="6266" priority="13" operator="containsText" text="Hear">
      <formula>NOT(ISERROR(SEARCH("Hear",B8)))</formula>
    </cfRule>
  </conditionalFormatting>
  <conditionalFormatting sqref="C18 C9:C16">
    <cfRule type="expression" dxfId="6265" priority="14">
      <formula>$B9="Dial"</formula>
    </cfRule>
    <cfRule type="expression" dxfId="6264" priority="16">
      <formula>$B9="HANGUP"</formula>
    </cfRule>
  </conditionalFormatting>
  <conditionalFormatting sqref="C9:C16 C18:C22">
    <cfRule type="expression" dxfId="6263" priority="15">
      <formula>$B9="Speak"</formula>
    </cfRule>
  </conditionalFormatting>
  <conditionalFormatting sqref="C17">
    <cfRule type="expression" dxfId="6262" priority="11">
      <formula>$B17="Dial"</formula>
    </cfRule>
    <cfRule type="expression" dxfId="6261" priority="12">
      <formula>$B17="HANGUP"</formula>
    </cfRule>
  </conditionalFormatting>
  <conditionalFormatting sqref="C23">
    <cfRule type="expression" dxfId="6260" priority="1">
      <formula>$B23="Dial"</formula>
    </cfRule>
    <cfRule type="expression" dxfId="6259" priority="2">
      <formula>$B23="HANGUP"</formula>
    </cfRule>
  </conditionalFormatting>
  <hyperlinks>
    <hyperlink ref="A1" location="'Test Case Overview'!A1" display="Return to Test Case Overview" xr:uid="{00000000-0004-0000-0F00-000000000000}"/>
  </hyperlink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37" operator="containsText" text="WEB SERVICE" id="{EDB53178-FE61-474E-9EA6-3490CEC7544D}">
            <xm:f>NOT(ISERROR(SEARCH("WEB SERVICE",'TC1'!E10)))</xm:f>
            <x14:dxf>
              <font>
                <color rgb="FF9C0006"/>
              </font>
              <fill>
                <patternFill>
                  <bgColor rgb="FFFFC7CE"/>
                </patternFill>
              </fill>
            </x14:dxf>
          </x14:cfRule>
          <x14:cfRule type="containsText" priority="38" operator="containsText" text="DB" id="{F1928706-C9BD-4F6D-8747-D0008ED4F308}">
            <xm:f>NOT(ISERROR(SEARCH("DB",'TC1'!E10)))</xm:f>
            <x14:dxf>
              <font>
                <color rgb="FF006100"/>
              </font>
              <fill>
                <patternFill>
                  <bgColor rgb="FFC6EFCE"/>
                </patternFill>
              </fill>
            </x14:dxf>
          </x14:cfRule>
          <xm:sqref>E9:E12</xm:sqref>
        </x14:conditionalFormatting>
        <x14:conditionalFormatting xmlns:xm="http://schemas.microsoft.com/office/excel/2006/main">
          <x14:cfRule type="containsText" priority="767" operator="containsText" text="WEB SERVICE" id="{EDB53178-FE61-474E-9EA6-3490CEC7544D}">
            <xm:f>NOT(ISERROR(SEARCH("WEB SERVICE",'TC1'!#REF!)))</xm:f>
            <x14:dxf>
              <font>
                <color rgb="FF9C0006"/>
              </font>
              <fill>
                <patternFill>
                  <bgColor rgb="FFFFC7CE"/>
                </patternFill>
              </fill>
            </x14:dxf>
          </x14:cfRule>
          <x14:cfRule type="containsText" priority="768" operator="containsText" text="DB" id="{F1928706-C9BD-4F6D-8747-D0008ED4F308}">
            <xm:f>NOT(ISERROR(SEARCH("DB",'TC1'!#REF!)))</xm:f>
            <x14:dxf>
              <font>
                <color rgb="FF006100"/>
              </font>
              <fill>
                <patternFill>
                  <bgColor rgb="FFC6EFCE"/>
                </patternFill>
              </fill>
            </x14:dxf>
          </x14:cfRule>
          <xm:sqref>E13:E21</xm:sqref>
        </x14:conditionalFormatting>
      </x14:conditionalFormattings>
    </ext>
  </extLst>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sheetPr codeName="Sheet161"/>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TC159</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VLOOKUP(Table257519913140106110151155170178204227[[#This Row],[PEG]],Table1016[#All],2,FALSE)</f>
        <v>#N/A</v>
      </c>
      <c r="D9" s="125"/>
      <c r="E9" s="122" t="e">
        <f>VLOOKUP(Table257519913140106110151155170178204227[[#This Row],[PEG]],Table1016[#All],3,FALSE)</f>
        <v>#N/A</v>
      </c>
    </row>
    <row r="10" spans="1:5">
      <c r="A10" s="114">
        <v>3</v>
      </c>
      <c r="B10" s="110" t="s">
        <v>115</v>
      </c>
      <c r="C10" s="105" t="e">
        <f>VLOOKUP(Table257519913140106110151155170178204227[[#This Row],[PEG]],Table1016[#All],2,FALSE)</f>
        <v>#N/A</v>
      </c>
      <c r="D10" s="125"/>
      <c r="E10" s="122" t="e">
        <f>VLOOKUP(Table257519913140106110151155170178204227[[#This Row],[PEG]],Table1016[#All],3,FALSE)</f>
        <v>#N/A</v>
      </c>
    </row>
    <row r="11" spans="1:5">
      <c r="A11" s="114">
        <v>4</v>
      </c>
      <c r="B11" s="110" t="s">
        <v>115</v>
      </c>
      <c r="C11" s="105" t="e">
        <f>VLOOKUP(Table257519913140106110151155170178204227[[#This Row],[PEG]],Table1016[#All],2,FALSE)</f>
        <v>#N/A</v>
      </c>
      <c r="D11" s="125"/>
      <c r="E11" s="122" t="e">
        <f>VLOOKUP(Table257519913140106110151155170178204227[[#This Row],[PEG]],Table1016[#All],3,FALSE)</f>
        <v>#N/A</v>
      </c>
    </row>
    <row r="12" spans="1:5">
      <c r="A12" s="114">
        <v>5</v>
      </c>
      <c r="B12" s="110" t="s">
        <v>114</v>
      </c>
      <c r="C12" s="105" t="e">
        <f>VLOOKUP(Table257519913140106110151155170178204227[[#This Row],[PEG]],Table1016[#All],2,FALSE)</f>
        <v>#N/A</v>
      </c>
      <c r="D12" s="125"/>
      <c r="E12" s="122" t="e">
        <f>VLOOKUP(Table257519913140106110151155170178204227[[#This Row],[PEG]],Table1016[#All],3,FALSE)</f>
        <v>#N/A</v>
      </c>
    </row>
    <row r="13" spans="1:5">
      <c r="A13" s="114">
        <v>6</v>
      </c>
      <c r="B13" s="110" t="s">
        <v>115</v>
      </c>
      <c r="C13" s="105" t="e">
        <f>VLOOKUP(Table257519913140106110151155170178204227[[#This Row],[PEG]],Table1016[#All],2,FALSE)</f>
        <v>#N/A</v>
      </c>
      <c r="D13" s="125"/>
      <c r="E13" s="122" t="e">
        <f>VLOOKUP(Table257519913140106110151155170178204227[[#This Row],[PEG]],Table1016[#All],3,FALSE)</f>
        <v>#N/A</v>
      </c>
    </row>
    <row r="14" spans="1:5">
      <c r="A14" s="114">
        <v>7</v>
      </c>
      <c r="B14" s="110" t="s">
        <v>114</v>
      </c>
      <c r="C14" s="105" t="e">
        <f>VLOOKUP(Table257519913140106110151155170178204227[[#This Row],[PEG]],Table1016[#All],2,FALSE)</f>
        <v>#N/A</v>
      </c>
      <c r="D14" s="125"/>
      <c r="E14" s="122" t="e">
        <f>VLOOKUP(Table257519913140106110151155170178204227[[#This Row],[PEG]],Table1016[#All],3,FALSE)</f>
        <v>#N/A</v>
      </c>
    </row>
    <row r="15" spans="1:5">
      <c r="A15" s="114">
        <v>8</v>
      </c>
      <c r="B15" s="110" t="s">
        <v>115</v>
      </c>
      <c r="C15" s="105" t="e">
        <f>VLOOKUP(Table257519913140106110151155170178204227[[#This Row],[PEG]],Table1016[#All],2,FALSE)</f>
        <v>#N/A</v>
      </c>
      <c r="D15" s="112"/>
      <c r="E15" s="122" t="e">
        <f>VLOOKUP(Table257519913140106110151155170178204227[[#This Row],[PEG]],Table1016[#All],3,FALSE)</f>
        <v>#N/A</v>
      </c>
    </row>
    <row r="16" spans="1:5">
      <c r="A16" s="114">
        <v>9</v>
      </c>
      <c r="B16" s="110" t="s">
        <v>12</v>
      </c>
      <c r="C16" s="105" t="e">
        <f>VLOOKUP(Table257519913140106110151155170178204227[[#This Row],[PEG]],Table1016[#All],2,FALSE)</f>
        <v>#N/A</v>
      </c>
      <c r="D16" s="112"/>
      <c r="E16" s="122" t="e">
        <f>VLOOKUP(Table257519913140106110151155170178204227[[#This Row],[PEG]],Table1016[#All],3,FALSE)</f>
        <v>#N/A</v>
      </c>
    </row>
    <row r="17" spans="1:5">
      <c r="A17" s="114">
        <v>10</v>
      </c>
      <c r="B17" s="110" t="s">
        <v>12</v>
      </c>
      <c r="C17" s="105" t="e">
        <f>VLOOKUP(Table257519913140106110151155170178204227[[#This Row],[PEG]],Table1016[#All],2,FALSE)</f>
        <v>#N/A</v>
      </c>
      <c r="D17" s="113"/>
      <c r="E17" s="122" t="e">
        <f>VLOOKUP(Table257519913140106110151155170178204227[[#This Row],[PEG]],Table1016[#All],3,FALSE)</f>
        <v>#N/A</v>
      </c>
    </row>
    <row r="18" spans="1:5">
      <c r="A18" s="114">
        <v>11</v>
      </c>
      <c r="B18" s="110" t="s">
        <v>115</v>
      </c>
      <c r="C18" s="105" t="e">
        <f>VLOOKUP(Table257519913140106110151155170178204227[[#This Row],[PEG]],Table1016[#All],2,FALSE)</f>
        <v>#N/A</v>
      </c>
      <c r="D18" s="113"/>
      <c r="E18" s="122" t="e">
        <f>VLOOKUP(Table257519913140106110151155170178204227[[#This Row],[PEG]],Table1016[#All],3,FALSE)</f>
        <v>#N/A</v>
      </c>
    </row>
    <row r="19" spans="1:5">
      <c r="A19" s="114">
        <v>12</v>
      </c>
      <c r="B19" s="110" t="s">
        <v>115</v>
      </c>
      <c r="C19" s="105" t="e">
        <f>VLOOKUP(Table257519913140106110151155170178204227[[#This Row],[PEG]],Table1016[#All],2,FALSE)</f>
        <v>#N/A</v>
      </c>
      <c r="D19" s="113"/>
      <c r="E19" s="122" t="e">
        <f>VLOOKUP(Table257519913140106110151155170178204227[[#This Row],[PEG]],Table1016[#All],3,FALSE)</f>
        <v>#N/A</v>
      </c>
    </row>
    <row r="20" spans="1:5">
      <c r="A20" s="114">
        <v>13</v>
      </c>
      <c r="B20" s="110" t="s">
        <v>114</v>
      </c>
      <c r="C20" s="105" t="e">
        <f>VLOOKUP(Table257519913140106110151155170178204227[[#This Row],[PEG]],Table1016[#All],2,FALSE)</f>
        <v>#N/A</v>
      </c>
      <c r="D20" s="113"/>
      <c r="E20" s="122" t="e">
        <f>VLOOKUP(Table257519913140106110151155170178204227[[#This Row],[PEG]],Table1016[#All],3,FALSE)</f>
        <v>#N/A</v>
      </c>
    </row>
    <row r="21" spans="1:5">
      <c r="A21" s="114">
        <v>14</v>
      </c>
      <c r="B21" s="110" t="s">
        <v>12</v>
      </c>
      <c r="C21" s="105" t="e">
        <f>VLOOKUP(Table257519913140106110151155170178204227[[#This Row],[PEG]],Table1016[#All],2,FALSE)</f>
        <v>#N/A</v>
      </c>
      <c r="D21" s="113"/>
      <c r="E21" s="122" t="e">
        <f>VLOOKUP(Table257519913140106110151155170178204227[[#This Row],[PEG]],Table1016[#All],3,FALSE)</f>
        <v>#N/A</v>
      </c>
    </row>
    <row r="22" spans="1:5">
      <c r="A22" s="114">
        <v>15</v>
      </c>
      <c r="B22" s="110" t="s">
        <v>12</v>
      </c>
      <c r="C22" s="105" t="e">
        <f>VLOOKUP(Table257519913140106110151155170178204227[[#This Row],[PEG]],Table1016[#All],2,FALSE)</f>
        <v>#N/A</v>
      </c>
      <c r="D22" s="113"/>
      <c r="E22" s="122" t="e">
        <f>VLOOKUP(Table257519913140106110151155170178204227[[#This Row],[PEG]],Table1016[#All],3,FALSE)</f>
        <v>#N/A</v>
      </c>
    </row>
    <row r="23" spans="1:5">
      <c r="A23" s="114">
        <v>16</v>
      </c>
      <c r="B23" s="110" t="s">
        <v>115</v>
      </c>
      <c r="C23" s="105" t="e">
        <f>VLOOKUP(Table257519913140106110151155170178204227[[#This Row],[PEG]],Table1016[#All],2,FALSE)</f>
        <v>#N/A</v>
      </c>
      <c r="D23" s="113"/>
      <c r="E23" s="122" t="e">
        <f>VLOOKUP(Table257519913140106110151155170178204227[[#This Row],[PEG]],Table1016[#All],3,FALSE)</f>
        <v>#N/A</v>
      </c>
    </row>
    <row r="24" spans="1:5">
      <c r="A24" s="114">
        <v>17</v>
      </c>
      <c r="B24" s="110" t="s">
        <v>114</v>
      </c>
      <c r="C24" s="105" t="e">
        <f>VLOOKUP(Table257519913140106110151155170178204227[[#This Row],[PEG]],Table1016[#All],2,FALSE)</f>
        <v>#N/A</v>
      </c>
      <c r="D24" s="113"/>
      <c r="E24" s="122" t="e">
        <f>VLOOKUP(Table257519913140106110151155170178204227[[#This Row],[PEG]],Table1016[#All],3,FALSE)</f>
        <v>#N/A</v>
      </c>
    </row>
    <row r="25" spans="1:5">
      <c r="A25" s="114">
        <v>18</v>
      </c>
      <c r="B25" s="110" t="s">
        <v>12</v>
      </c>
      <c r="C25" s="105" t="e">
        <f>VLOOKUP(Table257519913140106110151155170178204227[[#This Row],[PEG]],Table1016[#All],2,FALSE)</f>
        <v>#N/A</v>
      </c>
      <c r="D25" s="113"/>
      <c r="E25" s="122" t="e">
        <f>VLOOKUP(Table257519913140106110151155170178204227[[#This Row],[PEG]],Table1016[#All],3,FALSE)</f>
        <v>#N/A</v>
      </c>
    </row>
    <row r="26" spans="1:5">
      <c r="A26" s="114">
        <v>19</v>
      </c>
      <c r="B26" s="110" t="s">
        <v>12</v>
      </c>
      <c r="C26" s="105" t="e">
        <f>VLOOKUP(Table257519913140106110151155170178204227[[#This Row],[PEG]],Table1016[#All],2,FALSE)</f>
        <v>#N/A</v>
      </c>
      <c r="D26" s="113"/>
      <c r="E26" s="122" t="e">
        <f>VLOOKUP(Table257519913140106110151155170178204227[[#This Row],[PEG]],Table1016[#All],3,FALSE)</f>
        <v>#N/A</v>
      </c>
    </row>
    <row r="27" spans="1:5">
      <c r="A27" s="114">
        <v>20</v>
      </c>
      <c r="B27" s="110" t="s">
        <v>115</v>
      </c>
      <c r="C27" s="105" t="e">
        <f>VLOOKUP(Table257519913140106110151155170178204227[[#This Row],[PEG]],Table1016[#All],2,FALSE)</f>
        <v>#N/A</v>
      </c>
      <c r="D27" s="113"/>
      <c r="E27" s="122" t="e">
        <f>VLOOKUP(Table257519913140106110151155170178204227[[#This Row],[PEG]],Table1016[#All],3,FALSE)</f>
        <v>#N/A</v>
      </c>
    </row>
    <row r="28" spans="1:5">
      <c r="A28" s="114">
        <v>21</v>
      </c>
      <c r="B28" s="110" t="s">
        <v>114</v>
      </c>
      <c r="C28" s="105" t="e">
        <f>VLOOKUP(Table257519913140106110151155170178204227[[#This Row],[PEG]],Table1016[#All],2,FALSE)</f>
        <v>#N/A</v>
      </c>
      <c r="D28" s="113"/>
      <c r="E28" s="122" t="e">
        <f>VLOOKUP(Table257519913140106110151155170178204227[[#This Row],[PEG]],Table1016[#All],3,FALSE)</f>
        <v>#N/A</v>
      </c>
    </row>
    <row r="29" spans="1:5">
      <c r="A29" s="114">
        <v>22</v>
      </c>
      <c r="B29" s="110" t="s">
        <v>12</v>
      </c>
      <c r="C29" s="105" t="e">
        <f>VLOOKUP(Table257519913140106110151155170178204227[[#This Row],[PEG]],Table1016[#All],2,FALSE)</f>
        <v>#N/A</v>
      </c>
      <c r="D29" s="113"/>
      <c r="E29" s="122" t="e">
        <f>VLOOKUP(Table257519913140106110151155170178204227[[#This Row],[PEG]],Table1016[#All],3,FALSE)</f>
        <v>#N/A</v>
      </c>
    </row>
    <row r="30" spans="1:5">
      <c r="A30" s="114">
        <v>23</v>
      </c>
      <c r="B30" s="110" t="s">
        <v>12</v>
      </c>
      <c r="C30" s="105" t="e">
        <f>VLOOKUP(Table257519913140106110151155170178204227[[#This Row],[PEG]],Table1016[#All],2,FALSE)</f>
        <v>#N/A</v>
      </c>
      <c r="D30" s="113"/>
      <c r="E30" s="122" t="e">
        <f>VLOOKUP(Table257519913140106110151155170178204227[[#This Row],[PEG]],Table1016[#All],3,FALSE)</f>
        <v>#N/A</v>
      </c>
    </row>
    <row r="31" spans="1:5">
      <c r="A31" s="114">
        <v>24</v>
      </c>
      <c r="B31" s="110" t="s">
        <v>115</v>
      </c>
      <c r="C31" s="105" t="e">
        <f>VLOOKUP(Table257519913140106110151155170178204227[[#This Row],[PEG]],Table1016[#All],2,FALSE)</f>
        <v>#N/A</v>
      </c>
      <c r="D31" s="113"/>
      <c r="E31" s="122" t="e">
        <f>VLOOKUP(Table257519913140106110151155170178204227[[#This Row],[PEG]],Table1016[#All],3,FALSE)</f>
        <v>#N/A</v>
      </c>
    </row>
    <row r="32" spans="1:5">
      <c r="A32" s="114">
        <v>25</v>
      </c>
      <c r="B32" s="110" t="s">
        <v>115</v>
      </c>
      <c r="C32" s="105" t="e">
        <f>VLOOKUP(Table257519913140106110151155170178204227[[#This Row],[PEG]],Table1016[#All],2,FALSE)</f>
        <v>#N/A</v>
      </c>
      <c r="D32" s="113"/>
      <c r="E32" s="122" t="e">
        <f>VLOOKUP(Table257519913140106110151155170178204227[[#This Row],[PEG]],Table1016[#All],3,FALSE)</f>
        <v>#N/A</v>
      </c>
    </row>
    <row r="33" spans="1:5">
      <c r="A33" s="114">
        <v>26</v>
      </c>
      <c r="B33" s="110" t="s">
        <v>124</v>
      </c>
      <c r="C33" s="105" t="e">
        <f>VLOOKUP(Table257519913140106110151155170178204227[[#This Row],[PEG]],Table1016[#All],2,FALSE)</f>
        <v>#N/A</v>
      </c>
      <c r="D33" s="113"/>
      <c r="E33" s="122" t="e">
        <f>VLOOKUP(Table257519913140106110151155170178204227[[#This Row],[PEG]],Table1016[#All],3,FALSE)</f>
        <v>#N/A</v>
      </c>
    </row>
    <row r="34" spans="1:5">
      <c r="A34" s="114">
        <v>27</v>
      </c>
      <c r="B34" s="110" t="s">
        <v>115</v>
      </c>
      <c r="C34" s="105" t="e">
        <f>VLOOKUP(Table257519913140106110151155170178204227[[#This Row],[PEG]],Table1016[#All],2,FALSE)</f>
        <v>#N/A</v>
      </c>
      <c r="D34" s="113"/>
      <c r="E34" s="122" t="e">
        <f>VLOOKUP(Table257519913140106110151155170178204227[[#This Row],[PEG]],Table1016[#All],3,FALSE)</f>
        <v>#N/A</v>
      </c>
    </row>
    <row r="35" spans="1:5">
      <c r="A35" s="114">
        <v>28</v>
      </c>
      <c r="B35" s="110" t="s">
        <v>124</v>
      </c>
      <c r="C35" s="105" t="e">
        <f>VLOOKUP(Table257519913140106110151155170178204227[[#This Row],[PEG]],Table1016[#All],2,FALSE)</f>
        <v>#N/A</v>
      </c>
      <c r="D35" s="113"/>
      <c r="E35" s="122" t="e">
        <f>VLOOKUP(Table257519913140106110151155170178204227[[#This Row],[PEG]],Table1016[#All],3,FALSE)</f>
        <v>#N/A</v>
      </c>
    </row>
    <row r="36" spans="1:5">
      <c r="A36" s="114">
        <v>29</v>
      </c>
      <c r="B36" s="110" t="s">
        <v>115</v>
      </c>
      <c r="C36" s="105" t="e">
        <f>VLOOKUP(Table257519913140106110151155170178204227[[#This Row],[PEG]],Table1016[#All],2,FALSE)</f>
        <v>#N/A</v>
      </c>
      <c r="D36" s="113"/>
      <c r="E36" s="122" t="e">
        <f>VLOOKUP(Table257519913140106110151155170178204227[[#This Row],[PEG]],Table1016[#All],3,FALSE)</f>
        <v>#N/A</v>
      </c>
    </row>
    <row r="37" spans="1:5">
      <c r="A37" s="114">
        <v>30</v>
      </c>
      <c r="B37" s="110" t="s">
        <v>12</v>
      </c>
      <c r="C37" s="105" t="e">
        <f>VLOOKUP(Table257519913140106110151155170178204227[[#This Row],[PEG]],Table1016[#All],2,FALSE)</f>
        <v>#N/A</v>
      </c>
      <c r="D37" s="113"/>
      <c r="E37" s="122" t="e">
        <f>VLOOKUP(Table257519913140106110151155170178204227[[#This Row],[PEG]],Table1016[#All],3,FALSE)</f>
        <v>#N/A</v>
      </c>
    </row>
    <row r="38" spans="1:5">
      <c r="A38" s="114">
        <v>31</v>
      </c>
      <c r="B38" s="110" t="s">
        <v>12</v>
      </c>
      <c r="C38" s="105" t="e">
        <f>VLOOKUP(Table257519913140106110151155170178204227[[#This Row],[PEG]],Table1016[#All],2,FALSE)</f>
        <v>#N/A</v>
      </c>
      <c r="D38" s="113"/>
      <c r="E38" s="122" t="e">
        <f>VLOOKUP(Table257519913140106110151155170178204227[[#This Row],[PEG]],Table1016[#All],3,FALSE)</f>
        <v>#N/A</v>
      </c>
    </row>
    <row r="39" spans="1:5">
      <c r="A39" s="114">
        <v>32</v>
      </c>
      <c r="B39" s="110" t="s">
        <v>12</v>
      </c>
      <c r="C39" s="105" t="e">
        <f>VLOOKUP(Table257519913140106110151155170178204227[[#This Row],[PEG]],Table1016[#All],2,FALSE)</f>
        <v>#N/A</v>
      </c>
      <c r="D39" s="113"/>
      <c r="E39" s="122" t="e">
        <f>VLOOKUP(Table257519913140106110151155170178204227[[#This Row],[PEG]],Table1016[#All],3,FALSE)</f>
        <v>#N/A</v>
      </c>
    </row>
    <row r="40" spans="1:5">
      <c r="A40" s="114">
        <v>33</v>
      </c>
      <c r="B40" s="110" t="s">
        <v>12</v>
      </c>
      <c r="C40" s="105" t="e">
        <f>VLOOKUP(Table257519913140106110151155170178204227[[#This Row],[PEG]],Table1016[#All],2,FALSE)</f>
        <v>#N/A</v>
      </c>
      <c r="D40" s="113"/>
      <c r="E40" s="122" t="e">
        <f>VLOOKUP(Table257519913140106110151155170178204227[[#This Row],[PEG]],Table1016[#All],3,FALSE)</f>
        <v>#N/A</v>
      </c>
    </row>
    <row r="41" spans="1:5">
      <c r="A41" s="114">
        <v>34</v>
      </c>
      <c r="B41" s="110" t="s">
        <v>115</v>
      </c>
      <c r="C41" s="105" t="e">
        <f>VLOOKUP(Table257519913140106110151155170178204227[[#This Row],[PEG]],Table1016[#All],2,FALSE)</f>
        <v>#N/A</v>
      </c>
      <c r="D41" s="113"/>
      <c r="E41" s="122" t="e">
        <f>VLOOKUP(Table257519913140106110151155170178204227[[#This Row],[PEG]],Table1016[#All],3,FALSE)</f>
        <v>#N/A</v>
      </c>
    </row>
    <row r="42" spans="1:5">
      <c r="A42" s="114">
        <v>35</v>
      </c>
      <c r="B42" s="110" t="s">
        <v>12</v>
      </c>
      <c r="C42" s="105" t="e">
        <f>VLOOKUP(Table257519913140106110151155170178204227[[#This Row],[PEG]],Table1016[#All],2,FALSE)</f>
        <v>#N/A</v>
      </c>
      <c r="D42" s="111"/>
      <c r="E42" s="122" t="e">
        <f>VLOOKUP(Table257519913140106110151155170178204227[[#This Row],[PEG]],Table1016[#All],3,FALSE)</f>
        <v>#N/A</v>
      </c>
    </row>
    <row r="43" spans="1:5">
      <c r="A43" s="114">
        <v>36</v>
      </c>
      <c r="B43" s="110" t="s">
        <v>115</v>
      </c>
      <c r="C43" s="105" t="e">
        <f>VLOOKUP(Table257519913140106110151155170178204227[[#This Row],[PEG]],Table1016[#All],2,FALSE)</f>
        <v>#N/A</v>
      </c>
      <c r="D43" s="111"/>
      <c r="E43" s="122" t="e">
        <f>VLOOKUP(Table257519913140106110151155170178204227[[#This Row],[PEG]],Table1016[#All],3,FALSE)</f>
        <v>#N/A</v>
      </c>
    </row>
    <row r="44" spans="1:5">
      <c r="A44" s="114">
        <v>37</v>
      </c>
      <c r="B44" s="110" t="s">
        <v>13</v>
      </c>
      <c r="C44" s="17" t="s">
        <v>13</v>
      </c>
      <c r="D44" s="111"/>
      <c r="E44" s="31"/>
    </row>
  </sheetData>
  <mergeCells count="1">
    <mergeCell ref="A1:B1"/>
  </mergeCells>
  <conditionalFormatting sqref="B8:B18">
    <cfRule type="containsText" dxfId="1056" priority="1" operator="containsText" text="Hear">
      <formula>NOT(ISERROR(SEARCH("Hear",B8)))</formula>
    </cfRule>
  </conditionalFormatting>
  <conditionalFormatting sqref="B30">
    <cfRule type="containsText" dxfId="1055" priority="4" operator="containsText" text="Hear">
      <formula>NOT(ISERROR(SEARCH("Hear",B30)))</formula>
    </cfRule>
  </conditionalFormatting>
  <conditionalFormatting sqref="B43:B44">
    <cfRule type="containsText" dxfId="1054" priority="8" operator="containsText" text="Hear">
      <formula>NOT(ISERROR(SEARCH("Hear",B43)))</formula>
    </cfRule>
  </conditionalFormatting>
  <conditionalFormatting sqref="E44">
    <cfRule type="containsText" dxfId="1053" priority="6" operator="containsText" text="WEB SERVICE">
      <formula>NOT(ISERROR(SEARCH("WEB SERVICE",E44)))</formula>
    </cfRule>
    <cfRule type="containsText" dxfId="1052" priority="7" operator="containsText" text="DB">
      <formula>NOT(ISERROR(SEARCH("DB",E44)))</formula>
    </cfRule>
  </conditionalFormatting>
  <conditionalFormatting sqref="C44">
    <cfRule type="expression" dxfId="1051" priority="9">
      <formula>$B44="Dial"</formula>
    </cfRule>
  </conditionalFormatting>
  <conditionalFormatting sqref="C44">
    <cfRule type="expression" dxfId="1050" priority="3">
      <formula>$B44="Speak"</formula>
    </cfRule>
  </conditionalFormatting>
  <conditionalFormatting sqref="B19:B29 B31:B35 B42">
    <cfRule type="containsText" dxfId="1049" priority="5" operator="containsText" text="Hear">
      <formula>NOT(ISERROR(SEARCH("Hear",B19)))</formula>
    </cfRule>
  </conditionalFormatting>
  <hyperlinks>
    <hyperlink ref="A1" location="'Test Case Overview'!A1" display="Return to Test Case Overview" xr:uid="{00000000-0004-0000-9F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163CFEF3-A481-4194-9895-17E7521445B2}">
            <xm:f>'TC1'!$B8="HANGUP"</xm:f>
            <x14:dxf>
              <font>
                <b/>
                <i val="0"/>
              </font>
            </x14:dxf>
          </x14:cfRule>
          <xm:sqref>C8</xm:sqref>
        </x14:conditionalFormatting>
        <x14:conditionalFormatting xmlns:xm="http://schemas.microsoft.com/office/excel/2006/main">
          <x14:cfRule type="expression" priority="3285" id="{163CFEF3-A481-4194-9895-17E7521445B2}">
            <xm:f>'TC1'!$B14="HANGUP"</xm:f>
            <x14:dxf>
              <font>
                <b/>
                <i val="0"/>
              </font>
            </x14:dxf>
          </x14:cfRule>
          <xm:sqref>C34:C43</xm:sqref>
        </x14:conditionalFormatting>
        <x14:conditionalFormatting xmlns:xm="http://schemas.microsoft.com/office/excel/2006/main">
          <x14:cfRule type="expression" priority="3286" id="{163CFEF3-A481-4194-9895-17E7521445B2}">
            <xm:f>'TC1'!#REF!="HANGUP"</xm:f>
            <x14:dxf>
              <font>
                <b/>
                <i val="0"/>
              </font>
            </x14:dxf>
          </x14:cfRule>
          <xm:sqref>C13:C33</xm:sqref>
        </x14:conditionalFormatting>
        <x14:conditionalFormatting xmlns:xm="http://schemas.microsoft.com/office/excel/2006/main">
          <x14:cfRule type="expression" priority="4569" id="{163CFEF3-A481-4194-9895-17E7521445B2}">
            <xm:f>'TC1'!$B10="HANGUP"</xm:f>
            <x14:dxf>
              <font>
                <b/>
                <i val="0"/>
              </font>
            </x14:dxf>
          </x14:cfRule>
          <xm:sqref>C9:C12</xm:sqref>
        </x14:conditionalFormatting>
      </x14:conditionalFormattings>
    </ext>
  </extLst>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sheetPr codeName="Sheet162"/>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TC160</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VLOOKUP(Table257519913140106110151155170178204229[[#This Row],[PEG]],Table1016[#All],2,FALSE)</f>
        <v>#N/A</v>
      </c>
      <c r="D9" s="125"/>
      <c r="E9" s="122" t="e">
        <f>VLOOKUP(Table257519913140106110151155170178204229[[#This Row],[PEG]],Table1016[#All],3,FALSE)</f>
        <v>#N/A</v>
      </c>
    </row>
    <row r="10" spans="1:5">
      <c r="A10" s="114">
        <v>3</v>
      </c>
      <c r="B10" s="110" t="s">
        <v>115</v>
      </c>
      <c r="C10" s="105" t="e">
        <f>VLOOKUP(Table257519913140106110151155170178204229[[#This Row],[PEG]],Table1016[#All],2,FALSE)</f>
        <v>#N/A</v>
      </c>
      <c r="D10" s="125"/>
      <c r="E10" s="122" t="e">
        <f>VLOOKUP(Table257519913140106110151155170178204229[[#This Row],[PEG]],Table1016[#All],3,FALSE)</f>
        <v>#N/A</v>
      </c>
    </row>
    <row r="11" spans="1:5">
      <c r="A11" s="114">
        <v>4</v>
      </c>
      <c r="B11" s="110" t="s">
        <v>115</v>
      </c>
      <c r="C11" s="105" t="e">
        <f>VLOOKUP(Table257519913140106110151155170178204229[[#This Row],[PEG]],Table1016[#All],2,FALSE)</f>
        <v>#N/A</v>
      </c>
      <c r="D11" s="125"/>
      <c r="E11" s="122" t="e">
        <f>VLOOKUP(Table257519913140106110151155170178204229[[#This Row],[PEG]],Table1016[#All],3,FALSE)</f>
        <v>#N/A</v>
      </c>
    </row>
    <row r="12" spans="1:5">
      <c r="A12" s="114">
        <v>5</v>
      </c>
      <c r="B12" s="110" t="s">
        <v>114</v>
      </c>
      <c r="C12" s="105" t="e">
        <f>VLOOKUP(Table257519913140106110151155170178204229[[#This Row],[PEG]],Table1016[#All],2,FALSE)</f>
        <v>#N/A</v>
      </c>
      <c r="D12" s="125"/>
      <c r="E12" s="122" t="e">
        <f>VLOOKUP(Table257519913140106110151155170178204229[[#This Row],[PEG]],Table1016[#All],3,FALSE)</f>
        <v>#N/A</v>
      </c>
    </row>
    <row r="13" spans="1:5">
      <c r="A13" s="114">
        <v>6</v>
      </c>
      <c r="B13" s="110" t="s">
        <v>115</v>
      </c>
      <c r="C13" s="105" t="e">
        <f>VLOOKUP(Table257519913140106110151155170178204229[[#This Row],[PEG]],Table1016[#All],2,FALSE)</f>
        <v>#N/A</v>
      </c>
      <c r="D13" s="125"/>
      <c r="E13" s="122" t="e">
        <f>VLOOKUP(Table257519913140106110151155170178204229[[#This Row],[PEG]],Table1016[#All],3,FALSE)</f>
        <v>#N/A</v>
      </c>
    </row>
    <row r="14" spans="1:5">
      <c r="A14" s="114">
        <v>7</v>
      </c>
      <c r="B14" s="110" t="s">
        <v>114</v>
      </c>
      <c r="C14" s="105" t="e">
        <f>VLOOKUP(Table257519913140106110151155170178204229[[#This Row],[PEG]],Table1016[#All],2,FALSE)</f>
        <v>#N/A</v>
      </c>
      <c r="D14" s="125"/>
      <c r="E14" s="122" t="e">
        <f>VLOOKUP(Table257519913140106110151155170178204229[[#This Row],[PEG]],Table1016[#All],3,FALSE)</f>
        <v>#N/A</v>
      </c>
    </row>
    <row r="15" spans="1:5">
      <c r="A15" s="114">
        <v>8</v>
      </c>
      <c r="B15" s="110" t="s">
        <v>115</v>
      </c>
      <c r="C15" s="105" t="e">
        <f>VLOOKUP(Table257519913140106110151155170178204229[[#This Row],[PEG]],Table1016[#All],2,FALSE)</f>
        <v>#N/A</v>
      </c>
      <c r="D15" s="112"/>
      <c r="E15" s="122" t="e">
        <f>VLOOKUP(Table257519913140106110151155170178204229[[#This Row],[PEG]],Table1016[#All],3,FALSE)</f>
        <v>#N/A</v>
      </c>
    </row>
    <row r="16" spans="1:5">
      <c r="A16" s="114">
        <v>9</v>
      </c>
      <c r="B16" s="110" t="s">
        <v>12</v>
      </c>
      <c r="C16" s="105" t="e">
        <f>VLOOKUP(Table257519913140106110151155170178204229[[#This Row],[PEG]],Table1016[#All],2,FALSE)</f>
        <v>#N/A</v>
      </c>
      <c r="D16" s="112"/>
      <c r="E16" s="122" t="e">
        <f>VLOOKUP(Table257519913140106110151155170178204229[[#This Row],[PEG]],Table1016[#All],3,FALSE)</f>
        <v>#N/A</v>
      </c>
    </row>
    <row r="17" spans="1:5">
      <c r="A17" s="114">
        <v>10</v>
      </c>
      <c r="B17" s="110" t="s">
        <v>12</v>
      </c>
      <c r="C17" s="105" t="e">
        <f>VLOOKUP(Table257519913140106110151155170178204229[[#This Row],[PEG]],Table1016[#All],2,FALSE)</f>
        <v>#N/A</v>
      </c>
      <c r="D17" s="113"/>
      <c r="E17" s="122" t="e">
        <f>VLOOKUP(Table257519913140106110151155170178204229[[#This Row],[PEG]],Table1016[#All],3,FALSE)</f>
        <v>#N/A</v>
      </c>
    </row>
    <row r="18" spans="1:5">
      <c r="A18" s="114">
        <v>11</v>
      </c>
      <c r="B18" s="110" t="s">
        <v>115</v>
      </c>
      <c r="C18" s="105" t="e">
        <f>VLOOKUP(Table257519913140106110151155170178204229[[#This Row],[PEG]],Table1016[#All],2,FALSE)</f>
        <v>#N/A</v>
      </c>
      <c r="D18" s="113"/>
      <c r="E18" s="122" t="e">
        <f>VLOOKUP(Table257519913140106110151155170178204229[[#This Row],[PEG]],Table1016[#All],3,FALSE)</f>
        <v>#N/A</v>
      </c>
    </row>
    <row r="19" spans="1:5">
      <c r="A19" s="114">
        <v>12</v>
      </c>
      <c r="B19" s="110" t="s">
        <v>115</v>
      </c>
      <c r="C19" s="105" t="e">
        <f>VLOOKUP(Table257519913140106110151155170178204229[[#This Row],[PEG]],Table1016[#All],2,FALSE)</f>
        <v>#N/A</v>
      </c>
      <c r="D19" s="113"/>
      <c r="E19" s="122" t="e">
        <f>VLOOKUP(Table257519913140106110151155170178204229[[#This Row],[PEG]],Table1016[#All],3,FALSE)</f>
        <v>#N/A</v>
      </c>
    </row>
    <row r="20" spans="1:5">
      <c r="A20" s="114">
        <v>13</v>
      </c>
      <c r="B20" s="110" t="s">
        <v>114</v>
      </c>
      <c r="C20" s="105" t="e">
        <f>VLOOKUP(Table257519913140106110151155170178204229[[#This Row],[PEG]],Table1016[#All],2,FALSE)</f>
        <v>#N/A</v>
      </c>
      <c r="D20" s="113"/>
      <c r="E20" s="122" t="e">
        <f>VLOOKUP(Table257519913140106110151155170178204229[[#This Row],[PEG]],Table1016[#All],3,FALSE)</f>
        <v>#N/A</v>
      </c>
    </row>
    <row r="21" spans="1:5">
      <c r="A21" s="114">
        <v>14</v>
      </c>
      <c r="B21" s="110" t="s">
        <v>12</v>
      </c>
      <c r="C21" s="105" t="e">
        <f>VLOOKUP(Table257519913140106110151155170178204229[[#This Row],[PEG]],Table1016[#All],2,FALSE)</f>
        <v>#N/A</v>
      </c>
      <c r="D21" s="113"/>
      <c r="E21" s="122" t="e">
        <f>VLOOKUP(Table257519913140106110151155170178204229[[#This Row],[PEG]],Table1016[#All],3,FALSE)</f>
        <v>#N/A</v>
      </c>
    </row>
    <row r="22" spans="1:5">
      <c r="A22" s="114">
        <v>15</v>
      </c>
      <c r="B22" s="110" t="s">
        <v>12</v>
      </c>
      <c r="C22" s="105" t="e">
        <f>VLOOKUP(Table257519913140106110151155170178204229[[#This Row],[PEG]],Table1016[#All],2,FALSE)</f>
        <v>#N/A</v>
      </c>
      <c r="D22" s="113"/>
      <c r="E22" s="122" t="e">
        <f>VLOOKUP(Table257519913140106110151155170178204229[[#This Row],[PEG]],Table1016[#All],3,FALSE)</f>
        <v>#N/A</v>
      </c>
    </row>
    <row r="23" spans="1:5">
      <c r="A23" s="114">
        <v>16</v>
      </c>
      <c r="B23" s="110" t="s">
        <v>115</v>
      </c>
      <c r="C23" s="105" t="e">
        <f>VLOOKUP(Table257519913140106110151155170178204229[[#This Row],[PEG]],Table1016[#All],2,FALSE)</f>
        <v>#N/A</v>
      </c>
      <c r="D23" s="113"/>
      <c r="E23" s="122" t="e">
        <f>VLOOKUP(Table257519913140106110151155170178204229[[#This Row],[PEG]],Table1016[#All],3,FALSE)</f>
        <v>#N/A</v>
      </c>
    </row>
    <row r="24" spans="1:5">
      <c r="A24" s="114">
        <v>17</v>
      </c>
      <c r="B24" s="110" t="s">
        <v>114</v>
      </c>
      <c r="C24" s="105" t="e">
        <f>VLOOKUP(Table257519913140106110151155170178204229[[#This Row],[PEG]],Table1016[#All],2,FALSE)</f>
        <v>#N/A</v>
      </c>
      <c r="D24" s="113"/>
      <c r="E24" s="122" t="e">
        <f>VLOOKUP(Table257519913140106110151155170178204229[[#This Row],[PEG]],Table1016[#All],3,FALSE)</f>
        <v>#N/A</v>
      </c>
    </row>
    <row r="25" spans="1:5">
      <c r="A25" s="114">
        <v>18</v>
      </c>
      <c r="B25" s="110" t="s">
        <v>12</v>
      </c>
      <c r="C25" s="105" t="e">
        <f>VLOOKUP(Table257519913140106110151155170178204229[[#This Row],[PEG]],Table1016[#All],2,FALSE)</f>
        <v>#N/A</v>
      </c>
      <c r="D25" s="113"/>
      <c r="E25" s="122" t="e">
        <f>VLOOKUP(Table257519913140106110151155170178204229[[#This Row],[PEG]],Table1016[#All],3,FALSE)</f>
        <v>#N/A</v>
      </c>
    </row>
    <row r="26" spans="1:5">
      <c r="A26" s="114">
        <v>19</v>
      </c>
      <c r="B26" s="110" t="s">
        <v>12</v>
      </c>
      <c r="C26" s="105" t="e">
        <f>VLOOKUP(Table257519913140106110151155170178204229[[#This Row],[PEG]],Table1016[#All],2,FALSE)</f>
        <v>#N/A</v>
      </c>
      <c r="D26" s="113"/>
      <c r="E26" s="122" t="e">
        <f>VLOOKUP(Table257519913140106110151155170178204229[[#This Row],[PEG]],Table1016[#All],3,FALSE)</f>
        <v>#N/A</v>
      </c>
    </row>
    <row r="27" spans="1:5">
      <c r="A27" s="114">
        <v>20</v>
      </c>
      <c r="B27" s="110" t="s">
        <v>115</v>
      </c>
      <c r="C27" s="105" t="e">
        <f>VLOOKUP(Table257519913140106110151155170178204229[[#This Row],[PEG]],Table1016[#All],2,FALSE)</f>
        <v>#N/A</v>
      </c>
      <c r="D27" s="113"/>
      <c r="E27" s="122" t="e">
        <f>VLOOKUP(Table257519913140106110151155170178204229[[#This Row],[PEG]],Table1016[#All],3,FALSE)</f>
        <v>#N/A</v>
      </c>
    </row>
    <row r="28" spans="1:5">
      <c r="A28" s="114">
        <v>21</v>
      </c>
      <c r="B28" s="110" t="s">
        <v>114</v>
      </c>
      <c r="C28" s="105" t="e">
        <f>VLOOKUP(Table257519913140106110151155170178204229[[#This Row],[PEG]],Table1016[#All],2,FALSE)</f>
        <v>#N/A</v>
      </c>
      <c r="D28" s="113"/>
      <c r="E28" s="122" t="e">
        <f>VLOOKUP(Table257519913140106110151155170178204229[[#This Row],[PEG]],Table1016[#All],3,FALSE)</f>
        <v>#N/A</v>
      </c>
    </row>
    <row r="29" spans="1:5">
      <c r="A29" s="114">
        <v>22</v>
      </c>
      <c r="B29" s="110" t="s">
        <v>12</v>
      </c>
      <c r="C29" s="105" t="e">
        <f>VLOOKUP(Table257519913140106110151155170178204229[[#This Row],[PEG]],Table1016[#All],2,FALSE)</f>
        <v>#N/A</v>
      </c>
      <c r="D29" s="113"/>
      <c r="E29" s="122" t="e">
        <f>VLOOKUP(Table257519913140106110151155170178204229[[#This Row],[PEG]],Table1016[#All],3,FALSE)</f>
        <v>#N/A</v>
      </c>
    </row>
    <row r="30" spans="1:5">
      <c r="A30" s="114">
        <v>23</v>
      </c>
      <c r="B30" s="110" t="s">
        <v>12</v>
      </c>
      <c r="C30" s="105" t="e">
        <f>VLOOKUP(Table257519913140106110151155170178204229[[#This Row],[PEG]],Table1016[#All],2,FALSE)</f>
        <v>#N/A</v>
      </c>
      <c r="D30" s="113"/>
      <c r="E30" s="122" t="e">
        <f>VLOOKUP(Table257519913140106110151155170178204229[[#This Row],[PEG]],Table1016[#All],3,FALSE)</f>
        <v>#N/A</v>
      </c>
    </row>
    <row r="31" spans="1:5">
      <c r="A31" s="114">
        <v>24</v>
      </c>
      <c r="B31" s="110" t="s">
        <v>115</v>
      </c>
      <c r="C31" s="105" t="e">
        <f>VLOOKUP(Table257519913140106110151155170178204229[[#This Row],[PEG]],Table1016[#All],2,FALSE)</f>
        <v>#N/A</v>
      </c>
      <c r="D31" s="113"/>
      <c r="E31" s="122" t="e">
        <f>VLOOKUP(Table257519913140106110151155170178204229[[#This Row],[PEG]],Table1016[#All],3,FALSE)</f>
        <v>#N/A</v>
      </c>
    </row>
    <row r="32" spans="1:5">
      <c r="A32" s="114">
        <v>25</v>
      </c>
      <c r="B32" s="110" t="s">
        <v>115</v>
      </c>
      <c r="C32" s="105" t="e">
        <f>VLOOKUP(Table257519913140106110151155170178204229[[#This Row],[PEG]],Table1016[#All],2,FALSE)</f>
        <v>#N/A</v>
      </c>
      <c r="D32" s="113"/>
      <c r="E32" s="122" t="e">
        <f>VLOOKUP(Table257519913140106110151155170178204229[[#This Row],[PEG]],Table1016[#All],3,FALSE)</f>
        <v>#N/A</v>
      </c>
    </row>
    <row r="33" spans="1:5">
      <c r="A33" s="114">
        <v>26</v>
      </c>
      <c r="B33" s="110" t="s">
        <v>124</v>
      </c>
      <c r="C33" s="105" t="e">
        <f>VLOOKUP(Table257519913140106110151155170178204229[[#This Row],[PEG]],Table1016[#All],2,FALSE)</f>
        <v>#N/A</v>
      </c>
      <c r="D33" s="113"/>
      <c r="E33" s="122" t="e">
        <f>VLOOKUP(Table257519913140106110151155170178204229[[#This Row],[PEG]],Table1016[#All],3,FALSE)</f>
        <v>#N/A</v>
      </c>
    </row>
    <row r="34" spans="1:5">
      <c r="A34" s="114">
        <v>27</v>
      </c>
      <c r="B34" s="110" t="s">
        <v>115</v>
      </c>
      <c r="C34" s="105" t="e">
        <f>VLOOKUP(Table257519913140106110151155170178204229[[#This Row],[PEG]],Table1016[#All],2,FALSE)</f>
        <v>#N/A</v>
      </c>
      <c r="D34" s="113"/>
      <c r="E34" s="122" t="e">
        <f>VLOOKUP(Table257519913140106110151155170178204229[[#This Row],[PEG]],Table1016[#All],3,FALSE)</f>
        <v>#N/A</v>
      </c>
    </row>
    <row r="35" spans="1:5">
      <c r="A35" s="114">
        <v>28</v>
      </c>
      <c r="B35" s="110" t="s">
        <v>124</v>
      </c>
      <c r="C35" s="105" t="e">
        <f>VLOOKUP(Table257519913140106110151155170178204229[[#This Row],[PEG]],Table1016[#All],2,FALSE)</f>
        <v>#N/A</v>
      </c>
      <c r="D35" s="113"/>
      <c r="E35" s="122" t="e">
        <f>VLOOKUP(Table257519913140106110151155170178204229[[#This Row],[PEG]],Table1016[#All],3,FALSE)</f>
        <v>#N/A</v>
      </c>
    </row>
    <row r="36" spans="1:5">
      <c r="A36" s="114">
        <v>29</v>
      </c>
      <c r="B36" s="110" t="s">
        <v>115</v>
      </c>
      <c r="C36" s="105" t="e">
        <f>VLOOKUP(Table257519913140106110151155170178204229[[#This Row],[PEG]],Table1016[#All],2,FALSE)</f>
        <v>#N/A</v>
      </c>
      <c r="D36" s="113"/>
      <c r="E36" s="122" t="e">
        <f>VLOOKUP(Table257519913140106110151155170178204229[[#This Row],[PEG]],Table1016[#All],3,FALSE)</f>
        <v>#N/A</v>
      </c>
    </row>
    <row r="37" spans="1:5">
      <c r="A37" s="114">
        <v>30</v>
      </c>
      <c r="B37" s="110" t="s">
        <v>12</v>
      </c>
      <c r="C37" s="105" t="e">
        <f>VLOOKUP(Table257519913140106110151155170178204229[[#This Row],[PEG]],Table1016[#All],2,FALSE)</f>
        <v>#N/A</v>
      </c>
      <c r="D37" s="113"/>
      <c r="E37" s="122" t="e">
        <f>VLOOKUP(Table257519913140106110151155170178204229[[#This Row],[PEG]],Table1016[#All],3,FALSE)</f>
        <v>#N/A</v>
      </c>
    </row>
    <row r="38" spans="1:5">
      <c r="A38" s="114">
        <v>31</v>
      </c>
      <c r="B38" s="110" t="s">
        <v>12</v>
      </c>
      <c r="C38" s="105" t="e">
        <f>VLOOKUP(Table257519913140106110151155170178204229[[#This Row],[PEG]],Table1016[#All],2,FALSE)</f>
        <v>#N/A</v>
      </c>
      <c r="D38" s="113"/>
      <c r="E38" s="122" t="e">
        <f>VLOOKUP(Table257519913140106110151155170178204229[[#This Row],[PEG]],Table1016[#All],3,FALSE)</f>
        <v>#N/A</v>
      </c>
    </row>
    <row r="39" spans="1:5">
      <c r="A39" s="114">
        <v>32</v>
      </c>
      <c r="B39" s="110" t="s">
        <v>12</v>
      </c>
      <c r="C39" s="105" t="e">
        <f>VLOOKUP(Table257519913140106110151155170178204229[[#This Row],[PEG]],Table1016[#All],2,FALSE)</f>
        <v>#N/A</v>
      </c>
      <c r="D39" s="113"/>
      <c r="E39" s="122" t="e">
        <f>VLOOKUP(Table257519913140106110151155170178204229[[#This Row],[PEG]],Table1016[#All],3,FALSE)</f>
        <v>#N/A</v>
      </c>
    </row>
    <row r="40" spans="1:5">
      <c r="A40" s="114">
        <v>33</v>
      </c>
      <c r="B40" s="110" t="s">
        <v>12</v>
      </c>
      <c r="C40" s="105" t="e">
        <f>VLOOKUP(Table257519913140106110151155170178204229[[#This Row],[PEG]],Table1016[#All],2,FALSE)</f>
        <v>#N/A</v>
      </c>
      <c r="D40" s="113"/>
      <c r="E40" s="122" t="e">
        <f>VLOOKUP(Table257519913140106110151155170178204229[[#This Row],[PEG]],Table1016[#All],3,FALSE)</f>
        <v>#N/A</v>
      </c>
    </row>
    <row r="41" spans="1:5">
      <c r="A41" s="114">
        <v>34</v>
      </c>
      <c r="B41" s="110" t="s">
        <v>115</v>
      </c>
      <c r="C41" s="105" t="e">
        <f>VLOOKUP(Table257519913140106110151155170178204229[[#This Row],[PEG]],Table1016[#All],2,FALSE)</f>
        <v>#N/A</v>
      </c>
      <c r="D41" s="113"/>
      <c r="E41" s="122" t="e">
        <f>VLOOKUP(Table257519913140106110151155170178204229[[#This Row],[PEG]],Table1016[#All],3,FALSE)</f>
        <v>#N/A</v>
      </c>
    </row>
    <row r="42" spans="1:5">
      <c r="A42" s="114">
        <v>35</v>
      </c>
      <c r="B42" s="110" t="s">
        <v>12</v>
      </c>
      <c r="C42" s="105" t="e">
        <f>VLOOKUP(Table257519913140106110151155170178204229[[#This Row],[PEG]],Table1016[#All],2,FALSE)</f>
        <v>#N/A</v>
      </c>
      <c r="D42" s="111"/>
      <c r="E42" s="122" t="e">
        <f>VLOOKUP(Table257519913140106110151155170178204229[[#This Row],[PEG]],Table1016[#All],3,FALSE)</f>
        <v>#N/A</v>
      </c>
    </row>
    <row r="43" spans="1:5">
      <c r="A43" s="114">
        <v>36</v>
      </c>
      <c r="B43" s="110" t="s">
        <v>115</v>
      </c>
      <c r="C43" s="105" t="e">
        <f>VLOOKUP(Table257519913140106110151155170178204229[[#This Row],[PEG]],Table1016[#All],2,FALSE)</f>
        <v>#N/A</v>
      </c>
      <c r="D43" s="111"/>
      <c r="E43" s="122" t="e">
        <f>VLOOKUP(Table257519913140106110151155170178204229[[#This Row],[PEG]],Table1016[#All],3,FALSE)</f>
        <v>#N/A</v>
      </c>
    </row>
    <row r="44" spans="1:5">
      <c r="A44" s="114">
        <v>37</v>
      </c>
      <c r="B44" s="110" t="s">
        <v>13</v>
      </c>
      <c r="C44" s="17" t="s">
        <v>13</v>
      </c>
      <c r="D44" s="111"/>
      <c r="E44" s="31"/>
    </row>
  </sheetData>
  <mergeCells count="1">
    <mergeCell ref="A1:B1"/>
  </mergeCells>
  <conditionalFormatting sqref="B8:B18">
    <cfRule type="containsText" dxfId="1035" priority="1" operator="containsText" text="Hear">
      <formula>NOT(ISERROR(SEARCH("Hear",B8)))</formula>
    </cfRule>
  </conditionalFormatting>
  <conditionalFormatting sqref="B30">
    <cfRule type="containsText" dxfId="1034" priority="4" operator="containsText" text="Hear">
      <formula>NOT(ISERROR(SEARCH("Hear",B30)))</formula>
    </cfRule>
  </conditionalFormatting>
  <conditionalFormatting sqref="B43:B44">
    <cfRule type="containsText" dxfId="1033" priority="8" operator="containsText" text="Hear">
      <formula>NOT(ISERROR(SEARCH("Hear",B43)))</formula>
    </cfRule>
  </conditionalFormatting>
  <conditionalFormatting sqref="E44">
    <cfRule type="containsText" dxfId="1032" priority="6" operator="containsText" text="WEB SERVICE">
      <formula>NOT(ISERROR(SEARCH("WEB SERVICE",E44)))</formula>
    </cfRule>
    <cfRule type="containsText" dxfId="1031" priority="7" operator="containsText" text="DB">
      <formula>NOT(ISERROR(SEARCH("DB",E44)))</formula>
    </cfRule>
  </conditionalFormatting>
  <conditionalFormatting sqref="C44">
    <cfRule type="expression" dxfId="1030" priority="9">
      <formula>$B44="Dial"</formula>
    </cfRule>
  </conditionalFormatting>
  <conditionalFormatting sqref="C44">
    <cfRule type="expression" dxfId="1029" priority="3">
      <formula>$B44="Speak"</formula>
    </cfRule>
  </conditionalFormatting>
  <conditionalFormatting sqref="B19:B29 B31:B35 B42">
    <cfRule type="containsText" dxfId="1028" priority="5" operator="containsText" text="Hear">
      <formula>NOT(ISERROR(SEARCH("Hear",B19)))</formula>
    </cfRule>
  </conditionalFormatting>
  <hyperlinks>
    <hyperlink ref="A1" location="'Test Case Overview'!A1" display="Return to Test Case Overview" xr:uid="{00000000-0004-0000-A0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2E128157-34CE-46B9-8C92-7D80D385594B}">
            <xm:f>'TC1'!$B8="HANGUP"</xm:f>
            <x14:dxf>
              <font>
                <b/>
                <i val="0"/>
              </font>
            </x14:dxf>
          </x14:cfRule>
          <xm:sqref>C8</xm:sqref>
        </x14:conditionalFormatting>
        <x14:conditionalFormatting xmlns:xm="http://schemas.microsoft.com/office/excel/2006/main">
          <x14:cfRule type="expression" priority="3289" id="{2E128157-34CE-46B9-8C92-7D80D385594B}">
            <xm:f>'TC1'!$B14="HANGUP"</xm:f>
            <x14:dxf>
              <font>
                <b/>
                <i val="0"/>
              </font>
            </x14:dxf>
          </x14:cfRule>
          <xm:sqref>C34:C43</xm:sqref>
        </x14:conditionalFormatting>
        <x14:conditionalFormatting xmlns:xm="http://schemas.microsoft.com/office/excel/2006/main">
          <x14:cfRule type="expression" priority="3290" id="{2E128157-34CE-46B9-8C92-7D80D385594B}">
            <xm:f>'TC1'!#REF!="HANGUP"</xm:f>
            <x14:dxf>
              <font>
                <b/>
                <i val="0"/>
              </font>
            </x14:dxf>
          </x14:cfRule>
          <xm:sqref>C13:C33</xm:sqref>
        </x14:conditionalFormatting>
        <x14:conditionalFormatting xmlns:xm="http://schemas.microsoft.com/office/excel/2006/main">
          <x14:cfRule type="expression" priority="4571" id="{2E128157-34CE-46B9-8C92-7D80D385594B}">
            <xm:f>'TC1'!$B10="HANGUP"</xm:f>
            <x14:dxf>
              <font>
                <b/>
                <i val="0"/>
              </font>
            </x14:dxf>
          </x14:cfRule>
          <xm:sqref>C9:C12</xm:sqref>
        </x14:conditionalFormatting>
      </x14:conditionalFormattings>
    </ext>
  </extLst>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sheetPr codeName="Sheet163"/>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TC161</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VLOOKUP(Table257519913140106110151155170178204231[[#This Row],[PEG]],Table1016[#All],2,FALSE)</f>
        <v>#N/A</v>
      </c>
      <c r="D9" s="125"/>
      <c r="E9" s="122" t="e">
        <f>VLOOKUP(Table257519913140106110151155170178204231[[#This Row],[PEG]],Table1016[#All],3,FALSE)</f>
        <v>#N/A</v>
      </c>
    </row>
    <row r="10" spans="1:5">
      <c r="A10" s="114">
        <v>3</v>
      </c>
      <c r="B10" s="110" t="s">
        <v>115</v>
      </c>
      <c r="C10" s="105" t="e">
        <f>VLOOKUP(Table257519913140106110151155170178204231[[#This Row],[PEG]],Table1016[#All],2,FALSE)</f>
        <v>#N/A</v>
      </c>
      <c r="D10" s="125"/>
      <c r="E10" s="122" t="e">
        <f>VLOOKUP(Table257519913140106110151155170178204231[[#This Row],[PEG]],Table1016[#All],3,FALSE)</f>
        <v>#N/A</v>
      </c>
    </row>
    <row r="11" spans="1:5">
      <c r="A11" s="114">
        <v>4</v>
      </c>
      <c r="B11" s="110" t="s">
        <v>115</v>
      </c>
      <c r="C11" s="105" t="e">
        <f>VLOOKUP(Table257519913140106110151155170178204231[[#This Row],[PEG]],Table1016[#All],2,FALSE)</f>
        <v>#N/A</v>
      </c>
      <c r="D11" s="125"/>
      <c r="E11" s="122" t="e">
        <f>VLOOKUP(Table257519913140106110151155170178204231[[#This Row],[PEG]],Table1016[#All],3,FALSE)</f>
        <v>#N/A</v>
      </c>
    </row>
    <row r="12" spans="1:5">
      <c r="A12" s="114">
        <v>5</v>
      </c>
      <c r="B12" s="110" t="s">
        <v>114</v>
      </c>
      <c r="C12" s="105" t="e">
        <f>VLOOKUP(Table257519913140106110151155170178204231[[#This Row],[PEG]],Table1016[#All],2,FALSE)</f>
        <v>#N/A</v>
      </c>
      <c r="D12" s="125"/>
      <c r="E12" s="122" t="e">
        <f>VLOOKUP(Table257519913140106110151155170178204231[[#This Row],[PEG]],Table1016[#All],3,FALSE)</f>
        <v>#N/A</v>
      </c>
    </row>
    <row r="13" spans="1:5">
      <c r="A13" s="114">
        <v>6</v>
      </c>
      <c r="B13" s="110" t="s">
        <v>115</v>
      </c>
      <c r="C13" s="105" t="e">
        <f>VLOOKUP(Table257519913140106110151155170178204231[[#This Row],[PEG]],Table1016[#All],2,FALSE)</f>
        <v>#N/A</v>
      </c>
      <c r="D13" s="125"/>
      <c r="E13" s="122" t="e">
        <f>VLOOKUP(Table257519913140106110151155170178204231[[#This Row],[PEG]],Table1016[#All],3,FALSE)</f>
        <v>#N/A</v>
      </c>
    </row>
    <row r="14" spans="1:5">
      <c r="A14" s="114">
        <v>7</v>
      </c>
      <c r="B14" s="110" t="s">
        <v>114</v>
      </c>
      <c r="C14" s="105" t="e">
        <f>VLOOKUP(Table257519913140106110151155170178204231[[#This Row],[PEG]],Table1016[#All],2,FALSE)</f>
        <v>#N/A</v>
      </c>
      <c r="D14" s="125"/>
      <c r="E14" s="122" t="e">
        <f>VLOOKUP(Table257519913140106110151155170178204231[[#This Row],[PEG]],Table1016[#All],3,FALSE)</f>
        <v>#N/A</v>
      </c>
    </row>
    <row r="15" spans="1:5">
      <c r="A15" s="114">
        <v>8</v>
      </c>
      <c r="B15" s="110" t="s">
        <v>115</v>
      </c>
      <c r="C15" s="105" t="e">
        <f>VLOOKUP(Table257519913140106110151155170178204231[[#This Row],[PEG]],Table1016[#All],2,FALSE)</f>
        <v>#N/A</v>
      </c>
      <c r="D15" s="112"/>
      <c r="E15" s="122" t="e">
        <f>VLOOKUP(Table257519913140106110151155170178204231[[#This Row],[PEG]],Table1016[#All],3,FALSE)</f>
        <v>#N/A</v>
      </c>
    </row>
    <row r="16" spans="1:5">
      <c r="A16" s="114">
        <v>9</v>
      </c>
      <c r="B16" s="110" t="s">
        <v>12</v>
      </c>
      <c r="C16" s="105" t="e">
        <f>VLOOKUP(Table257519913140106110151155170178204231[[#This Row],[PEG]],Table1016[#All],2,FALSE)</f>
        <v>#N/A</v>
      </c>
      <c r="D16" s="112"/>
      <c r="E16" s="122" t="e">
        <f>VLOOKUP(Table257519913140106110151155170178204231[[#This Row],[PEG]],Table1016[#All],3,FALSE)</f>
        <v>#N/A</v>
      </c>
    </row>
    <row r="17" spans="1:5">
      <c r="A17" s="114">
        <v>10</v>
      </c>
      <c r="B17" s="110" t="s">
        <v>12</v>
      </c>
      <c r="C17" s="105" t="e">
        <f>VLOOKUP(Table257519913140106110151155170178204231[[#This Row],[PEG]],Table1016[#All],2,FALSE)</f>
        <v>#N/A</v>
      </c>
      <c r="D17" s="113"/>
      <c r="E17" s="122" t="e">
        <f>VLOOKUP(Table257519913140106110151155170178204231[[#This Row],[PEG]],Table1016[#All],3,FALSE)</f>
        <v>#N/A</v>
      </c>
    </row>
    <row r="18" spans="1:5">
      <c r="A18" s="114">
        <v>11</v>
      </c>
      <c r="B18" s="110" t="s">
        <v>115</v>
      </c>
      <c r="C18" s="105" t="e">
        <f>VLOOKUP(Table257519913140106110151155170178204231[[#This Row],[PEG]],Table1016[#All],2,FALSE)</f>
        <v>#N/A</v>
      </c>
      <c r="D18" s="113"/>
      <c r="E18" s="122" t="e">
        <f>VLOOKUP(Table257519913140106110151155170178204231[[#This Row],[PEG]],Table1016[#All],3,FALSE)</f>
        <v>#N/A</v>
      </c>
    </row>
    <row r="19" spans="1:5">
      <c r="A19" s="114">
        <v>12</v>
      </c>
      <c r="B19" s="110" t="s">
        <v>115</v>
      </c>
      <c r="C19" s="105" t="e">
        <f>VLOOKUP(Table257519913140106110151155170178204231[[#This Row],[PEG]],Table1016[#All],2,FALSE)</f>
        <v>#N/A</v>
      </c>
      <c r="D19" s="113"/>
      <c r="E19" s="122" t="e">
        <f>VLOOKUP(Table257519913140106110151155170178204231[[#This Row],[PEG]],Table1016[#All],3,FALSE)</f>
        <v>#N/A</v>
      </c>
    </row>
    <row r="20" spans="1:5">
      <c r="A20" s="114">
        <v>13</v>
      </c>
      <c r="B20" s="110" t="s">
        <v>114</v>
      </c>
      <c r="C20" s="105" t="e">
        <f>VLOOKUP(Table257519913140106110151155170178204231[[#This Row],[PEG]],Table1016[#All],2,FALSE)</f>
        <v>#N/A</v>
      </c>
      <c r="D20" s="113"/>
      <c r="E20" s="122" t="e">
        <f>VLOOKUP(Table257519913140106110151155170178204231[[#This Row],[PEG]],Table1016[#All],3,FALSE)</f>
        <v>#N/A</v>
      </c>
    </row>
    <row r="21" spans="1:5">
      <c r="A21" s="114">
        <v>14</v>
      </c>
      <c r="B21" s="110" t="s">
        <v>12</v>
      </c>
      <c r="C21" s="105" t="e">
        <f>VLOOKUP(Table257519913140106110151155170178204231[[#This Row],[PEG]],Table1016[#All],2,FALSE)</f>
        <v>#N/A</v>
      </c>
      <c r="D21" s="113"/>
      <c r="E21" s="122" t="e">
        <f>VLOOKUP(Table257519913140106110151155170178204231[[#This Row],[PEG]],Table1016[#All],3,FALSE)</f>
        <v>#N/A</v>
      </c>
    </row>
    <row r="22" spans="1:5">
      <c r="A22" s="114">
        <v>15</v>
      </c>
      <c r="B22" s="110" t="s">
        <v>12</v>
      </c>
      <c r="C22" s="105" t="e">
        <f>VLOOKUP(Table257519913140106110151155170178204231[[#This Row],[PEG]],Table1016[#All],2,FALSE)</f>
        <v>#N/A</v>
      </c>
      <c r="D22" s="113"/>
      <c r="E22" s="122" t="e">
        <f>VLOOKUP(Table257519913140106110151155170178204231[[#This Row],[PEG]],Table1016[#All],3,FALSE)</f>
        <v>#N/A</v>
      </c>
    </row>
    <row r="23" spans="1:5">
      <c r="A23" s="114">
        <v>16</v>
      </c>
      <c r="B23" s="110" t="s">
        <v>115</v>
      </c>
      <c r="C23" s="105" t="e">
        <f>VLOOKUP(Table257519913140106110151155170178204231[[#This Row],[PEG]],Table1016[#All],2,FALSE)</f>
        <v>#N/A</v>
      </c>
      <c r="D23" s="113"/>
      <c r="E23" s="122" t="e">
        <f>VLOOKUP(Table257519913140106110151155170178204231[[#This Row],[PEG]],Table1016[#All],3,FALSE)</f>
        <v>#N/A</v>
      </c>
    </row>
    <row r="24" spans="1:5">
      <c r="A24" s="114">
        <v>17</v>
      </c>
      <c r="B24" s="110" t="s">
        <v>114</v>
      </c>
      <c r="C24" s="105" t="e">
        <f>VLOOKUP(Table257519913140106110151155170178204231[[#This Row],[PEG]],Table1016[#All],2,FALSE)</f>
        <v>#N/A</v>
      </c>
      <c r="D24" s="113"/>
      <c r="E24" s="122" t="e">
        <f>VLOOKUP(Table257519913140106110151155170178204231[[#This Row],[PEG]],Table1016[#All],3,FALSE)</f>
        <v>#N/A</v>
      </c>
    </row>
    <row r="25" spans="1:5">
      <c r="A25" s="114">
        <v>18</v>
      </c>
      <c r="B25" s="110" t="s">
        <v>12</v>
      </c>
      <c r="C25" s="105" t="e">
        <f>VLOOKUP(Table257519913140106110151155170178204231[[#This Row],[PEG]],Table1016[#All],2,FALSE)</f>
        <v>#N/A</v>
      </c>
      <c r="D25" s="113"/>
      <c r="E25" s="122" t="e">
        <f>VLOOKUP(Table257519913140106110151155170178204231[[#This Row],[PEG]],Table1016[#All],3,FALSE)</f>
        <v>#N/A</v>
      </c>
    </row>
    <row r="26" spans="1:5">
      <c r="A26" s="114">
        <v>19</v>
      </c>
      <c r="B26" s="110" t="s">
        <v>12</v>
      </c>
      <c r="C26" s="105" t="e">
        <f>VLOOKUP(Table257519913140106110151155170178204231[[#This Row],[PEG]],Table1016[#All],2,FALSE)</f>
        <v>#N/A</v>
      </c>
      <c r="D26" s="113"/>
      <c r="E26" s="122" t="e">
        <f>VLOOKUP(Table257519913140106110151155170178204231[[#This Row],[PEG]],Table1016[#All],3,FALSE)</f>
        <v>#N/A</v>
      </c>
    </row>
    <row r="27" spans="1:5">
      <c r="A27" s="114">
        <v>20</v>
      </c>
      <c r="B27" s="110" t="s">
        <v>115</v>
      </c>
      <c r="C27" s="105" t="e">
        <f>VLOOKUP(Table257519913140106110151155170178204231[[#This Row],[PEG]],Table1016[#All],2,FALSE)</f>
        <v>#N/A</v>
      </c>
      <c r="D27" s="113"/>
      <c r="E27" s="122" t="e">
        <f>VLOOKUP(Table257519913140106110151155170178204231[[#This Row],[PEG]],Table1016[#All],3,FALSE)</f>
        <v>#N/A</v>
      </c>
    </row>
    <row r="28" spans="1:5">
      <c r="A28" s="114">
        <v>21</v>
      </c>
      <c r="B28" s="110" t="s">
        <v>114</v>
      </c>
      <c r="C28" s="105" t="e">
        <f>VLOOKUP(Table257519913140106110151155170178204231[[#This Row],[PEG]],Table1016[#All],2,FALSE)</f>
        <v>#N/A</v>
      </c>
      <c r="D28" s="113"/>
      <c r="E28" s="122" t="e">
        <f>VLOOKUP(Table257519913140106110151155170178204231[[#This Row],[PEG]],Table1016[#All],3,FALSE)</f>
        <v>#N/A</v>
      </c>
    </row>
    <row r="29" spans="1:5">
      <c r="A29" s="114">
        <v>22</v>
      </c>
      <c r="B29" s="110" t="s">
        <v>12</v>
      </c>
      <c r="C29" s="105" t="e">
        <f>VLOOKUP(Table257519913140106110151155170178204231[[#This Row],[PEG]],Table1016[#All],2,FALSE)</f>
        <v>#N/A</v>
      </c>
      <c r="D29" s="113"/>
      <c r="E29" s="122" t="e">
        <f>VLOOKUP(Table257519913140106110151155170178204231[[#This Row],[PEG]],Table1016[#All],3,FALSE)</f>
        <v>#N/A</v>
      </c>
    </row>
    <row r="30" spans="1:5">
      <c r="A30" s="114">
        <v>23</v>
      </c>
      <c r="B30" s="110" t="s">
        <v>12</v>
      </c>
      <c r="C30" s="105" t="e">
        <f>VLOOKUP(Table257519913140106110151155170178204231[[#This Row],[PEG]],Table1016[#All],2,FALSE)</f>
        <v>#N/A</v>
      </c>
      <c r="D30" s="113"/>
      <c r="E30" s="122" t="e">
        <f>VLOOKUP(Table257519913140106110151155170178204231[[#This Row],[PEG]],Table1016[#All],3,FALSE)</f>
        <v>#N/A</v>
      </c>
    </row>
    <row r="31" spans="1:5">
      <c r="A31" s="114">
        <v>24</v>
      </c>
      <c r="B31" s="110" t="s">
        <v>115</v>
      </c>
      <c r="C31" s="105" t="e">
        <f>VLOOKUP(Table257519913140106110151155170178204231[[#This Row],[PEG]],Table1016[#All],2,FALSE)</f>
        <v>#N/A</v>
      </c>
      <c r="D31" s="113"/>
      <c r="E31" s="122" t="e">
        <f>VLOOKUP(Table257519913140106110151155170178204231[[#This Row],[PEG]],Table1016[#All],3,FALSE)</f>
        <v>#N/A</v>
      </c>
    </row>
    <row r="32" spans="1:5">
      <c r="A32" s="114">
        <v>25</v>
      </c>
      <c r="B32" s="110" t="s">
        <v>115</v>
      </c>
      <c r="C32" s="105" t="e">
        <f>VLOOKUP(Table257519913140106110151155170178204231[[#This Row],[PEG]],Table1016[#All],2,FALSE)</f>
        <v>#N/A</v>
      </c>
      <c r="D32" s="113"/>
      <c r="E32" s="122" t="e">
        <f>VLOOKUP(Table257519913140106110151155170178204231[[#This Row],[PEG]],Table1016[#All],3,FALSE)</f>
        <v>#N/A</v>
      </c>
    </row>
    <row r="33" spans="1:5">
      <c r="A33" s="114">
        <v>26</v>
      </c>
      <c r="B33" s="110" t="s">
        <v>124</v>
      </c>
      <c r="C33" s="105" t="e">
        <f>VLOOKUP(Table257519913140106110151155170178204231[[#This Row],[PEG]],Table1016[#All],2,FALSE)</f>
        <v>#N/A</v>
      </c>
      <c r="D33" s="113"/>
      <c r="E33" s="122" t="e">
        <f>VLOOKUP(Table257519913140106110151155170178204231[[#This Row],[PEG]],Table1016[#All],3,FALSE)</f>
        <v>#N/A</v>
      </c>
    </row>
    <row r="34" spans="1:5">
      <c r="A34" s="114">
        <v>27</v>
      </c>
      <c r="B34" s="110" t="s">
        <v>115</v>
      </c>
      <c r="C34" s="105" t="e">
        <f>VLOOKUP(Table257519913140106110151155170178204231[[#This Row],[PEG]],Table1016[#All],2,FALSE)</f>
        <v>#N/A</v>
      </c>
      <c r="D34" s="113"/>
      <c r="E34" s="122" t="e">
        <f>VLOOKUP(Table257519913140106110151155170178204231[[#This Row],[PEG]],Table1016[#All],3,FALSE)</f>
        <v>#N/A</v>
      </c>
    </row>
    <row r="35" spans="1:5">
      <c r="A35" s="114">
        <v>28</v>
      </c>
      <c r="B35" s="110" t="s">
        <v>124</v>
      </c>
      <c r="C35" s="105" t="e">
        <f>VLOOKUP(Table257519913140106110151155170178204231[[#This Row],[PEG]],Table1016[#All],2,FALSE)</f>
        <v>#N/A</v>
      </c>
      <c r="D35" s="113"/>
      <c r="E35" s="122" t="e">
        <f>VLOOKUP(Table257519913140106110151155170178204231[[#This Row],[PEG]],Table1016[#All],3,FALSE)</f>
        <v>#N/A</v>
      </c>
    </row>
    <row r="36" spans="1:5">
      <c r="A36" s="114">
        <v>29</v>
      </c>
      <c r="B36" s="110" t="s">
        <v>115</v>
      </c>
      <c r="C36" s="105" t="e">
        <f>VLOOKUP(Table257519913140106110151155170178204231[[#This Row],[PEG]],Table1016[#All],2,FALSE)</f>
        <v>#N/A</v>
      </c>
      <c r="D36" s="113"/>
      <c r="E36" s="122" t="e">
        <f>VLOOKUP(Table257519913140106110151155170178204231[[#This Row],[PEG]],Table1016[#All],3,FALSE)</f>
        <v>#N/A</v>
      </c>
    </row>
    <row r="37" spans="1:5">
      <c r="A37" s="114">
        <v>30</v>
      </c>
      <c r="B37" s="110" t="s">
        <v>12</v>
      </c>
      <c r="C37" s="105" t="e">
        <f>VLOOKUP(Table257519913140106110151155170178204231[[#This Row],[PEG]],Table1016[#All],2,FALSE)</f>
        <v>#N/A</v>
      </c>
      <c r="D37" s="113"/>
      <c r="E37" s="122" t="e">
        <f>VLOOKUP(Table257519913140106110151155170178204231[[#This Row],[PEG]],Table1016[#All],3,FALSE)</f>
        <v>#N/A</v>
      </c>
    </row>
    <row r="38" spans="1:5">
      <c r="A38" s="114">
        <v>31</v>
      </c>
      <c r="B38" s="110" t="s">
        <v>12</v>
      </c>
      <c r="C38" s="105" t="e">
        <f>VLOOKUP(Table257519913140106110151155170178204231[[#This Row],[PEG]],Table1016[#All],2,FALSE)</f>
        <v>#N/A</v>
      </c>
      <c r="D38" s="113"/>
      <c r="E38" s="122" t="e">
        <f>VLOOKUP(Table257519913140106110151155170178204231[[#This Row],[PEG]],Table1016[#All],3,FALSE)</f>
        <v>#N/A</v>
      </c>
    </row>
    <row r="39" spans="1:5">
      <c r="A39" s="114">
        <v>32</v>
      </c>
      <c r="B39" s="110" t="s">
        <v>12</v>
      </c>
      <c r="C39" s="105" t="e">
        <f>VLOOKUP(Table257519913140106110151155170178204231[[#This Row],[PEG]],Table1016[#All],2,FALSE)</f>
        <v>#N/A</v>
      </c>
      <c r="D39" s="113"/>
      <c r="E39" s="122" t="e">
        <f>VLOOKUP(Table257519913140106110151155170178204231[[#This Row],[PEG]],Table1016[#All],3,FALSE)</f>
        <v>#N/A</v>
      </c>
    </row>
    <row r="40" spans="1:5">
      <c r="A40" s="114">
        <v>33</v>
      </c>
      <c r="B40" s="110" t="s">
        <v>12</v>
      </c>
      <c r="C40" s="105" t="e">
        <f>VLOOKUP(Table257519913140106110151155170178204231[[#This Row],[PEG]],Table1016[#All],2,FALSE)</f>
        <v>#N/A</v>
      </c>
      <c r="D40" s="113"/>
      <c r="E40" s="122" t="e">
        <f>VLOOKUP(Table257519913140106110151155170178204231[[#This Row],[PEG]],Table1016[#All],3,FALSE)</f>
        <v>#N/A</v>
      </c>
    </row>
    <row r="41" spans="1:5">
      <c r="A41" s="114">
        <v>34</v>
      </c>
      <c r="B41" s="110" t="s">
        <v>115</v>
      </c>
      <c r="C41" s="105" t="e">
        <f>VLOOKUP(Table257519913140106110151155170178204231[[#This Row],[PEG]],Table1016[#All],2,FALSE)</f>
        <v>#N/A</v>
      </c>
      <c r="D41" s="113"/>
      <c r="E41" s="122" t="e">
        <f>VLOOKUP(Table257519913140106110151155170178204231[[#This Row],[PEG]],Table1016[#All],3,FALSE)</f>
        <v>#N/A</v>
      </c>
    </row>
    <row r="42" spans="1:5">
      <c r="A42" s="114">
        <v>35</v>
      </c>
      <c r="B42" s="110" t="s">
        <v>12</v>
      </c>
      <c r="C42" s="105" t="e">
        <f>VLOOKUP(Table257519913140106110151155170178204231[[#This Row],[PEG]],Table1016[#All],2,FALSE)</f>
        <v>#N/A</v>
      </c>
      <c r="D42" s="111"/>
      <c r="E42" s="122" t="e">
        <f>VLOOKUP(Table257519913140106110151155170178204231[[#This Row],[PEG]],Table1016[#All],3,FALSE)</f>
        <v>#N/A</v>
      </c>
    </row>
    <row r="43" spans="1:5">
      <c r="A43" s="114">
        <v>36</v>
      </c>
      <c r="B43" s="110" t="s">
        <v>115</v>
      </c>
      <c r="C43" s="105" t="e">
        <f>VLOOKUP(Table257519913140106110151155170178204231[[#This Row],[PEG]],Table1016[#All],2,FALSE)</f>
        <v>#N/A</v>
      </c>
      <c r="D43" s="111"/>
      <c r="E43" s="122" t="e">
        <f>VLOOKUP(Table257519913140106110151155170178204231[[#This Row],[PEG]],Table1016[#All],3,FALSE)</f>
        <v>#N/A</v>
      </c>
    </row>
    <row r="44" spans="1:5">
      <c r="A44" s="114">
        <v>37</v>
      </c>
      <c r="B44" s="110" t="s">
        <v>13</v>
      </c>
      <c r="C44" s="17" t="s">
        <v>13</v>
      </c>
      <c r="D44" s="111"/>
      <c r="E44" s="31"/>
    </row>
  </sheetData>
  <mergeCells count="1">
    <mergeCell ref="A1:B1"/>
  </mergeCells>
  <conditionalFormatting sqref="B8:B18">
    <cfRule type="containsText" dxfId="1014" priority="1" operator="containsText" text="Hear">
      <formula>NOT(ISERROR(SEARCH("Hear",B8)))</formula>
    </cfRule>
  </conditionalFormatting>
  <conditionalFormatting sqref="B30">
    <cfRule type="containsText" dxfId="1013" priority="4" operator="containsText" text="Hear">
      <formula>NOT(ISERROR(SEARCH("Hear",B30)))</formula>
    </cfRule>
  </conditionalFormatting>
  <conditionalFormatting sqref="B43:B44">
    <cfRule type="containsText" dxfId="1012" priority="8" operator="containsText" text="Hear">
      <formula>NOT(ISERROR(SEARCH("Hear",B43)))</formula>
    </cfRule>
  </conditionalFormatting>
  <conditionalFormatting sqref="E44">
    <cfRule type="containsText" dxfId="1011" priority="6" operator="containsText" text="WEB SERVICE">
      <formula>NOT(ISERROR(SEARCH("WEB SERVICE",E44)))</formula>
    </cfRule>
    <cfRule type="containsText" dxfId="1010" priority="7" operator="containsText" text="DB">
      <formula>NOT(ISERROR(SEARCH("DB",E44)))</formula>
    </cfRule>
  </conditionalFormatting>
  <conditionalFormatting sqref="C44">
    <cfRule type="expression" dxfId="1009" priority="9">
      <formula>$B44="Dial"</formula>
    </cfRule>
  </conditionalFormatting>
  <conditionalFormatting sqref="C44">
    <cfRule type="expression" dxfId="1008" priority="3">
      <formula>$B44="Speak"</formula>
    </cfRule>
  </conditionalFormatting>
  <conditionalFormatting sqref="B19:B29 B31:B35 B42">
    <cfRule type="containsText" dxfId="1007" priority="5" operator="containsText" text="Hear">
      <formula>NOT(ISERROR(SEARCH("Hear",B19)))</formula>
    </cfRule>
  </conditionalFormatting>
  <hyperlinks>
    <hyperlink ref="A1" location="'Test Case Overview'!A1" display="Return to Test Case Overview" xr:uid="{00000000-0004-0000-A1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D600CBEA-4755-4FF5-9667-9D3417ABA7D8}">
            <xm:f>'TC1'!$B8="HANGUP"</xm:f>
            <x14:dxf>
              <font>
                <b/>
                <i val="0"/>
              </font>
            </x14:dxf>
          </x14:cfRule>
          <xm:sqref>C8</xm:sqref>
        </x14:conditionalFormatting>
        <x14:conditionalFormatting xmlns:xm="http://schemas.microsoft.com/office/excel/2006/main">
          <x14:cfRule type="expression" priority="3293" id="{D600CBEA-4755-4FF5-9667-9D3417ABA7D8}">
            <xm:f>'TC1'!$B14="HANGUP"</xm:f>
            <x14:dxf>
              <font>
                <b/>
                <i val="0"/>
              </font>
            </x14:dxf>
          </x14:cfRule>
          <xm:sqref>C34:C43</xm:sqref>
        </x14:conditionalFormatting>
        <x14:conditionalFormatting xmlns:xm="http://schemas.microsoft.com/office/excel/2006/main">
          <x14:cfRule type="expression" priority="3294" id="{D600CBEA-4755-4FF5-9667-9D3417ABA7D8}">
            <xm:f>'TC1'!#REF!="HANGUP"</xm:f>
            <x14:dxf>
              <font>
                <b/>
                <i val="0"/>
              </font>
            </x14:dxf>
          </x14:cfRule>
          <xm:sqref>C13:C33</xm:sqref>
        </x14:conditionalFormatting>
        <x14:conditionalFormatting xmlns:xm="http://schemas.microsoft.com/office/excel/2006/main">
          <x14:cfRule type="expression" priority="4573" id="{D600CBEA-4755-4FF5-9667-9D3417ABA7D8}">
            <xm:f>'TC1'!$B10="HANGUP"</xm:f>
            <x14:dxf>
              <font>
                <b/>
                <i val="0"/>
              </font>
            </x14:dxf>
          </x14:cfRule>
          <xm:sqref>C9:C12</xm:sqref>
        </x14:conditionalFormatting>
      </x14:conditionalFormattings>
    </ext>
  </extLst>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sheetPr codeName="Sheet164"/>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TC162</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VLOOKUP(Table257519913140106110151155170178204233[[#This Row],[PEG]],Table1016[#All],2,FALSE)</f>
        <v>#N/A</v>
      </c>
      <c r="D9" s="125"/>
      <c r="E9" s="122" t="e">
        <f>VLOOKUP(Table257519913140106110151155170178204233[[#This Row],[PEG]],Table1016[#All],3,FALSE)</f>
        <v>#N/A</v>
      </c>
    </row>
    <row r="10" spans="1:5">
      <c r="A10" s="114">
        <v>3</v>
      </c>
      <c r="B10" s="110" t="s">
        <v>115</v>
      </c>
      <c r="C10" s="105" t="e">
        <f>VLOOKUP(Table257519913140106110151155170178204233[[#This Row],[PEG]],Table1016[#All],2,FALSE)</f>
        <v>#N/A</v>
      </c>
      <c r="D10" s="125"/>
      <c r="E10" s="122" t="e">
        <f>VLOOKUP(Table257519913140106110151155170178204233[[#This Row],[PEG]],Table1016[#All],3,FALSE)</f>
        <v>#N/A</v>
      </c>
    </row>
    <row r="11" spans="1:5">
      <c r="A11" s="114">
        <v>4</v>
      </c>
      <c r="B11" s="110" t="s">
        <v>115</v>
      </c>
      <c r="C11" s="105" t="e">
        <f>VLOOKUP(Table257519913140106110151155170178204233[[#This Row],[PEG]],Table1016[#All],2,FALSE)</f>
        <v>#N/A</v>
      </c>
      <c r="D11" s="125"/>
      <c r="E11" s="122" t="e">
        <f>VLOOKUP(Table257519913140106110151155170178204233[[#This Row],[PEG]],Table1016[#All],3,FALSE)</f>
        <v>#N/A</v>
      </c>
    </row>
    <row r="12" spans="1:5">
      <c r="A12" s="114">
        <v>5</v>
      </c>
      <c r="B12" s="110" t="s">
        <v>114</v>
      </c>
      <c r="C12" s="105" t="e">
        <f>VLOOKUP(Table257519913140106110151155170178204233[[#This Row],[PEG]],Table1016[#All],2,FALSE)</f>
        <v>#N/A</v>
      </c>
      <c r="D12" s="125"/>
      <c r="E12" s="122" t="e">
        <f>VLOOKUP(Table257519913140106110151155170178204233[[#This Row],[PEG]],Table1016[#All],3,FALSE)</f>
        <v>#N/A</v>
      </c>
    </row>
    <row r="13" spans="1:5">
      <c r="A13" s="114">
        <v>6</v>
      </c>
      <c r="B13" s="110" t="s">
        <v>115</v>
      </c>
      <c r="C13" s="105" t="e">
        <f>VLOOKUP(Table257519913140106110151155170178204233[[#This Row],[PEG]],Table1016[#All],2,FALSE)</f>
        <v>#N/A</v>
      </c>
      <c r="D13" s="125"/>
      <c r="E13" s="122" t="e">
        <f>VLOOKUP(Table257519913140106110151155170178204233[[#This Row],[PEG]],Table1016[#All],3,FALSE)</f>
        <v>#N/A</v>
      </c>
    </row>
    <row r="14" spans="1:5">
      <c r="A14" s="114">
        <v>7</v>
      </c>
      <c r="B14" s="110" t="s">
        <v>114</v>
      </c>
      <c r="C14" s="105" t="e">
        <f>VLOOKUP(Table257519913140106110151155170178204233[[#This Row],[PEG]],Table1016[#All],2,FALSE)</f>
        <v>#N/A</v>
      </c>
      <c r="D14" s="125"/>
      <c r="E14" s="122" t="e">
        <f>VLOOKUP(Table257519913140106110151155170178204233[[#This Row],[PEG]],Table1016[#All],3,FALSE)</f>
        <v>#N/A</v>
      </c>
    </row>
    <row r="15" spans="1:5">
      <c r="A15" s="114">
        <v>8</v>
      </c>
      <c r="B15" s="110" t="s">
        <v>115</v>
      </c>
      <c r="C15" s="105" t="e">
        <f>VLOOKUP(Table257519913140106110151155170178204233[[#This Row],[PEG]],Table1016[#All],2,FALSE)</f>
        <v>#N/A</v>
      </c>
      <c r="D15" s="112"/>
      <c r="E15" s="122" t="e">
        <f>VLOOKUP(Table257519913140106110151155170178204233[[#This Row],[PEG]],Table1016[#All],3,FALSE)</f>
        <v>#N/A</v>
      </c>
    </row>
    <row r="16" spans="1:5">
      <c r="A16" s="114">
        <v>9</v>
      </c>
      <c r="B16" s="110" t="s">
        <v>12</v>
      </c>
      <c r="C16" s="105" t="e">
        <f>VLOOKUP(Table257519913140106110151155170178204233[[#This Row],[PEG]],Table1016[#All],2,FALSE)</f>
        <v>#N/A</v>
      </c>
      <c r="D16" s="112"/>
      <c r="E16" s="122" t="e">
        <f>VLOOKUP(Table257519913140106110151155170178204233[[#This Row],[PEG]],Table1016[#All],3,FALSE)</f>
        <v>#N/A</v>
      </c>
    </row>
    <row r="17" spans="1:5">
      <c r="A17" s="114">
        <v>10</v>
      </c>
      <c r="B17" s="110" t="s">
        <v>12</v>
      </c>
      <c r="C17" s="105" t="e">
        <f>VLOOKUP(Table257519913140106110151155170178204233[[#This Row],[PEG]],Table1016[#All],2,FALSE)</f>
        <v>#N/A</v>
      </c>
      <c r="D17" s="113"/>
      <c r="E17" s="122" t="e">
        <f>VLOOKUP(Table257519913140106110151155170178204233[[#This Row],[PEG]],Table1016[#All],3,FALSE)</f>
        <v>#N/A</v>
      </c>
    </row>
    <row r="18" spans="1:5">
      <c r="A18" s="114">
        <v>11</v>
      </c>
      <c r="B18" s="110" t="s">
        <v>115</v>
      </c>
      <c r="C18" s="105" t="e">
        <f>VLOOKUP(Table257519913140106110151155170178204233[[#This Row],[PEG]],Table1016[#All],2,FALSE)</f>
        <v>#N/A</v>
      </c>
      <c r="D18" s="113"/>
      <c r="E18" s="122" t="e">
        <f>VLOOKUP(Table257519913140106110151155170178204233[[#This Row],[PEG]],Table1016[#All],3,FALSE)</f>
        <v>#N/A</v>
      </c>
    </row>
    <row r="19" spans="1:5">
      <c r="A19" s="114">
        <v>12</v>
      </c>
      <c r="B19" s="110" t="s">
        <v>115</v>
      </c>
      <c r="C19" s="105" t="e">
        <f>VLOOKUP(Table257519913140106110151155170178204233[[#This Row],[PEG]],Table1016[#All],2,FALSE)</f>
        <v>#N/A</v>
      </c>
      <c r="D19" s="113"/>
      <c r="E19" s="122" t="e">
        <f>VLOOKUP(Table257519913140106110151155170178204233[[#This Row],[PEG]],Table1016[#All],3,FALSE)</f>
        <v>#N/A</v>
      </c>
    </row>
    <row r="20" spans="1:5">
      <c r="A20" s="114">
        <v>13</v>
      </c>
      <c r="B20" s="110" t="s">
        <v>114</v>
      </c>
      <c r="C20" s="105" t="e">
        <f>VLOOKUP(Table257519913140106110151155170178204233[[#This Row],[PEG]],Table1016[#All],2,FALSE)</f>
        <v>#N/A</v>
      </c>
      <c r="D20" s="113"/>
      <c r="E20" s="122" t="e">
        <f>VLOOKUP(Table257519913140106110151155170178204233[[#This Row],[PEG]],Table1016[#All],3,FALSE)</f>
        <v>#N/A</v>
      </c>
    </row>
    <row r="21" spans="1:5">
      <c r="A21" s="114">
        <v>14</v>
      </c>
      <c r="B21" s="110" t="s">
        <v>12</v>
      </c>
      <c r="C21" s="105" t="e">
        <f>VLOOKUP(Table257519913140106110151155170178204233[[#This Row],[PEG]],Table1016[#All],2,FALSE)</f>
        <v>#N/A</v>
      </c>
      <c r="D21" s="113"/>
      <c r="E21" s="122" t="e">
        <f>VLOOKUP(Table257519913140106110151155170178204233[[#This Row],[PEG]],Table1016[#All],3,FALSE)</f>
        <v>#N/A</v>
      </c>
    </row>
    <row r="22" spans="1:5">
      <c r="A22" s="114">
        <v>15</v>
      </c>
      <c r="B22" s="110" t="s">
        <v>12</v>
      </c>
      <c r="C22" s="105" t="e">
        <f>VLOOKUP(Table257519913140106110151155170178204233[[#This Row],[PEG]],Table1016[#All],2,FALSE)</f>
        <v>#N/A</v>
      </c>
      <c r="D22" s="113"/>
      <c r="E22" s="122" t="e">
        <f>VLOOKUP(Table257519913140106110151155170178204233[[#This Row],[PEG]],Table1016[#All],3,FALSE)</f>
        <v>#N/A</v>
      </c>
    </row>
    <row r="23" spans="1:5">
      <c r="A23" s="114">
        <v>16</v>
      </c>
      <c r="B23" s="110" t="s">
        <v>115</v>
      </c>
      <c r="C23" s="105" t="e">
        <f>VLOOKUP(Table257519913140106110151155170178204233[[#This Row],[PEG]],Table1016[#All],2,FALSE)</f>
        <v>#N/A</v>
      </c>
      <c r="D23" s="113"/>
      <c r="E23" s="122" t="e">
        <f>VLOOKUP(Table257519913140106110151155170178204233[[#This Row],[PEG]],Table1016[#All],3,FALSE)</f>
        <v>#N/A</v>
      </c>
    </row>
    <row r="24" spans="1:5">
      <c r="A24" s="114">
        <v>17</v>
      </c>
      <c r="B24" s="110" t="s">
        <v>114</v>
      </c>
      <c r="C24" s="105" t="e">
        <f>VLOOKUP(Table257519913140106110151155170178204233[[#This Row],[PEG]],Table1016[#All],2,FALSE)</f>
        <v>#N/A</v>
      </c>
      <c r="D24" s="113"/>
      <c r="E24" s="122" t="e">
        <f>VLOOKUP(Table257519913140106110151155170178204233[[#This Row],[PEG]],Table1016[#All],3,FALSE)</f>
        <v>#N/A</v>
      </c>
    </row>
    <row r="25" spans="1:5">
      <c r="A25" s="114">
        <v>18</v>
      </c>
      <c r="B25" s="110" t="s">
        <v>12</v>
      </c>
      <c r="C25" s="105" t="e">
        <f>VLOOKUP(Table257519913140106110151155170178204233[[#This Row],[PEG]],Table1016[#All],2,FALSE)</f>
        <v>#N/A</v>
      </c>
      <c r="D25" s="113"/>
      <c r="E25" s="122" t="e">
        <f>VLOOKUP(Table257519913140106110151155170178204233[[#This Row],[PEG]],Table1016[#All],3,FALSE)</f>
        <v>#N/A</v>
      </c>
    </row>
    <row r="26" spans="1:5">
      <c r="A26" s="114">
        <v>19</v>
      </c>
      <c r="B26" s="110" t="s">
        <v>12</v>
      </c>
      <c r="C26" s="105" t="e">
        <f>VLOOKUP(Table257519913140106110151155170178204233[[#This Row],[PEG]],Table1016[#All],2,FALSE)</f>
        <v>#N/A</v>
      </c>
      <c r="D26" s="113"/>
      <c r="E26" s="122" t="e">
        <f>VLOOKUP(Table257519913140106110151155170178204233[[#This Row],[PEG]],Table1016[#All],3,FALSE)</f>
        <v>#N/A</v>
      </c>
    </row>
    <row r="27" spans="1:5">
      <c r="A27" s="114">
        <v>20</v>
      </c>
      <c r="B27" s="110" t="s">
        <v>115</v>
      </c>
      <c r="C27" s="105" t="e">
        <f>VLOOKUP(Table257519913140106110151155170178204233[[#This Row],[PEG]],Table1016[#All],2,FALSE)</f>
        <v>#N/A</v>
      </c>
      <c r="D27" s="113"/>
      <c r="E27" s="122" t="e">
        <f>VLOOKUP(Table257519913140106110151155170178204233[[#This Row],[PEG]],Table1016[#All],3,FALSE)</f>
        <v>#N/A</v>
      </c>
    </row>
    <row r="28" spans="1:5">
      <c r="A28" s="114">
        <v>21</v>
      </c>
      <c r="B28" s="110" t="s">
        <v>114</v>
      </c>
      <c r="C28" s="105" t="e">
        <f>VLOOKUP(Table257519913140106110151155170178204233[[#This Row],[PEG]],Table1016[#All],2,FALSE)</f>
        <v>#N/A</v>
      </c>
      <c r="D28" s="113"/>
      <c r="E28" s="122" t="e">
        <f>VLOOKUP(Table257519913140106110151155170178204233[[#This Row],[PEG]],Table1016[#All],3,FALSE)</f>
        <v>#N/A</v>
      </c>
    </row>
    <row r="29" spans="1:5">
      <c r="A29" s="114">
        <v>22</v>
      </c>
      <c r="B29" s="110" t="s">
        <v>12</v>
      </c>
      <c r="C29" s="105" t="e">
        <f>VLOOKUP(Table257519913140106110151155170178204233[[#This Row],[PEG]],Table1016[#All],2,FALSE)</f>
        <v>#N/A</v>
      </c>
      <c r="D29" s="113"/>
      <c r="E29" s="122" t="e">
        <f>VLOOKUP(Table257519913140106110151155170178204233[[#This Row],[PEG]],Table1016[#All],3,FALSE)</f>
        <v>#N/A</v>
      </c>
    </row>
    <row r="30" spans="1:5">
      <c r="A30" s="114">
        <v>23</v>
      </c>
      <c r="B30" s="110" t="s">
        <v>12</v>
      </c>
      <c r="C30" s="105" t="e">
        <f>VLOOKUP(Table257519913140106110151155170178204233[[#This Row],[PEG]],Table1016[#All],2,FALSE)</f>
        <v>#N/A</v>
      </c>
      <c r="D30" s="113"/>
      <c r="E30" s="122" t="e">
        <f>VLOOKUP(Table257519913140106110151155170178204233[[#This Row],[PEG]],Table1016[#All],3,FALSE)</f>
        <v>#N/A</v>
      </c>
    </row>
    <row r="31" spans="1:5">
      <c r="A31" s="114">
        <v>24</v>
      </c>
      <c r="B31" s="110" t="s">
        <v>115</v>
      </c>
      <c r="C31" s="105" t="e">
        <f>VLOOKUP(Table257519913140106110151155170178204233[[#This Row],[PEG]],Table1016[#All],2,FALSE)</f>
        <v>#N/A</v>
      </c>
      <c r="D31" s="113"/>
      <c r="E31" s="122" t="e">
        <f>VLOOKUP(Table257519913140106110151155170178204233[[#This Row],[PEG]],Table1016[#All],3,FALSE)</f>
        <v>#N/A</v>
      </c>
    </row>
    <row r="32" spans="1:5">
      <c r="A32" s="114">
        <v>25</v>
      </c>
      <c r="B32" s="110" t="s">
        <v>115</v>
      </c>
      <c r="C32" s="105" t="e">
        <f>VLOOKUP(Table257519913140106110151155170178204233[[#This Row],[PEG]],Table1016[#All],2,FALSE)</f>
        <v>#N/A</v>
      </c>
      <c r="D32" s="113"/>
      <c r="E32" s="122" t="e">
        <f>VLOOKUP(Table257519913140106110151155170178204233[[#This Row],[PEG]],Table1016[#All],3,FALSE)</f>
        <v>#N/A</v>
      </c>
    </row>
    <row r="33" spans="1:5">
      <c r="A33" s="114">
        <v>26</v>
      </c>
      <c r="B33" s="110" t="s">
        <v>124</v>
      </c>
      <c r="C33" s="105" t="e">
        <f>VLOOKUP(Table257519913140106110151155170178204233[[#This Row],[PEG]],Table1016[#All],2,FALSE)</f>
        <v>#N/A</v>
      </c>
      <c r="D33" s="113"/>
      <c r="E33" s="122" t="e">
        <f>VLOOKUP(Table257519913140106110151155170178204233[[#This Row],[PEG]],Table1016[#All],3,FALSE)</f>
        <v>#N/A</v>
      </c>
    </row>
    <row r="34" spans="1:5">
      <c r="A34" s="114">
        <v>27</v>
      </c>
      <c r="B34" s="110" t="s">
        <v>115</v>
      </c>
      <c r="C34" s="105" t="e">
        <f>VLOOKUP(Table257519913140106110151155170178204233[[#This Row],[PEG]],Table1016[#All],2,FALSE)</f>
        <v>#N/A</v>
      </c>
      <c r="D34" s="113"/>
      <c r="E34" s="122" t="e">
        <f>VLOOKUP(Table257519913140106110151155170178204233[[#This Row],[PEG]],Table1016[#All],3,FALSE)</f>
        <v>#N/A</v>
      </c>
    </row>
    <row r="35" spans="1:5">
      <c r="A35" s="114">
        <v>28</v>
      </c>
      <c r="B35" s="110" t="s">
        <v>124</v>
      </c>
      <c r="C35" s="105" t="e">
        <f>VLOOKUP(Table257519913140106110151155170178204233[[#This Row],[PEG]],Table1016[#All],2,FALSE)</f>
        <v>#N/A</v>
      </c>
      <c r="D35" s="113"/>
      <c r="E35" s="122" t="e">
        <f>VLOOKUP(Table257519913140106110151155170178204233[[#This Row],[PEG]],Table1016[#All],3,FALSE)</f>
        <v>#N/A</v>
      </c>
    </row>
    <row r="36" spans="1:5">
      <c r="A36" s="114">
        <v>29</v>
      </c>
      <c r="B36" s="110" t="s">
        <v>115</v>
      </c>
      <c r="C36" s="105" t="e">
        <f>VLOOKUP(Table257519913140106110151155170178204233[[#This Row],[PEG]],Table1016[#All],2,FALSE)</f>
        <v>#N/A</v>
      </c>
      <c r="D36" s="113"/>
      <c r="E36" s="122" t="e">
        <f>VLOOKUP(Table257519913140106110151155170178204233[[#This Row],[PEG]],Table1016[#All],3,FALSE)</f>
        <v>#N/A</v>
      </c>
    </row>
    <row r="37" spans="1:5">
      <c r="A37" s="114">
        <v>30</v>
      </c>
      <c r="B37" s="110" t="s">
        <v>12</v>
      </c>
      <c r="C37" s="105" t="e">
        <f>VLOOKUP(Table257519913140106110151155170178204233[[#This Row],[PEG]],Table1016[#All],2,FALSE)</f>
        <v>#N/A</v>
      </c>
      <c r="D37" s="113"/>
      <c r="E37" s="122" t="e">
        <f>VLOOKUP(Table257519913140106110151155170178204233[[#This Row],[PEG]],Table1016[#All],3,FALSE)</f>
        <v>#N/A</v>
      </c>
    </row>
    <row r="38" spans="1:5">
      <c r="A38" s="114">
        <v>31</v>
      </c>
      <c r="B38" s="110" t="s">
        <v>12</v>
      </c>
      <c r="C38" s="105" t="e">
        <f>VLOOKUP(Table257519913140106110151155170178204233[[#This Row],[PEG]],Table1016[#All],2,FALSE)</f>
        <v>#N/A</v>
      </c>
      <c r="D38" s="113"/>
      <c r="E38" s="122" t="e">
        <f>VLOOKUP(Table257519913140106110151155170178204233[[#This Row],[PEG]],Table1016[#All],3,FALSE)</f>
        <v>#N/A</v>
      </c>
    </row>
    <row r="39" spans="1:5">
      <c r="A39" s="114">
        <v>32</v>
      </c>
      <c r="B39" s="110" t="s">
        <v>12</v>
      </c>
      <c r="C39" s="105" t="e">
        <f>VLOOKUP(Table257519913140106110151155170178204233[[#This Row],[PEG]],Table1016[#All],2,FALSE)</f>
        <v>#N/A</v>
      </c>
      <c r="D39" s="113"/>
      <c r="E39" s="122" t="e">
        <f>VLOOKUP(Table257519913140106110151155170178204233[[#This Row],[PEG]],Table1016[#All],3,FALSE)</f>
        <v>#N/A</v>
      </c>
    </row>
    <row r="40" spans="1:5">
      <c r="A40" s="114">
        <v>33</v>
      </c>
      <c r="B40" s="110" t="s">
        <v>12</v>
      </c>
      <c r="C40" s="105" t="e">
        <f>VLOOKUP(Table257519913140106110151155170178204233[[#This Row],[PEG]],Table1016[#All],2,FALSE)</f>
        <v>#N/A</v>
      </c>
      <c r="D40" s="113"/>
      <c r="E40" s="122" t="e">
        <f>VLOOKUP(Table257519913140106110151155170178204233[[#This Row],[PEG]],Table1016[#All],3,FALSE)</f>
        <v>#N/A</v>
      </c>
    </row>
    <row r="41" spans="1:5">
      <c r="A41" s="114">
        <v>34</v>
      </c>
      <c r="B41" s="110" t="s">
        <v>115</v>
      </c>
      <c r="C41" s="105" t="e">
        <f>VLOOKUP(Table257519913140106110151155170178204233[[#This Row],[PEG]],Table1016[#All],2,FALSE)</f>
        <v>#N/A</v>
      </c>
      <c r="D41" s="113"/>
      <c r="E41" s="122" t="e">
        <f>VLOOKUP(Table257519913140106110151155170178204233[[#This Row],[PEG]],Table1016[#All],3,FALSE)</f>
        <v>#N/A</v>
      </c>
    </row>
    <row r="42" spans="1:5">
      <c r="A42" s="114">
        <v>35</v>
      </c>
      <c r="B42" s="110" t="s">
        <v>12</v>
      </c>
      <c r="C42" s="105" t="e">
        <f>VLOOKUP(Table257519913140106110151155170178204233[[#This Row],[PEG]],Table1016[#All],2,FALSE)</f>
        <v>#N/A</v>
      </c>
      <c r="D42" s="111"/>
      <c r="E42" s="122" t="e">
        <f>VLOOKUP(Table257519913140106110151155170178204233[[#This Row],[PEG]],Table1016[#All],3,FALSE)</f>
        <v>#N/A</v>
      </c>
    </row>
    <row r="43" spans="1:5">
      <c r="A43" s="114">
        <v>36</v>
      </c>
      <c r="B43" s="110" t="s">
        <v>115</v>
      </c>
      <c r="C43" s="105" t="e">
        <f>VLOOKUP(Table257519913140106110151155170178204233[[#This Row],[PEG]],Table1016[#All],2,FALSE)</f>
        <v>#N/A</v>
      </c>
      <c r="D43" s="111"/>
      <c r="E43" s="122" t="e">
        <f>VLOOKUP(Table257519913140106110151155170178204233[[#This Row],[PEG]],Table1016[#All],3,FALSE)</f>
        <v>#N/A</v>
      </c>
    </row>
    <row r="44" spans="1:5">
      <c r="A44" s="114">
        <v>37</v>
      </c>
      <c r="B44" s="110" t="s">
        <v>13</v>
      </c>
      <c r="C44" s="17" t="s">
        <v>13</v>
      </c>
      <c r="D44" s="111"/>
      <c r="E44" s="31"/>
    </row>
  </sheetData>
  <mergeCells count="1">
    <mergeCell ref="A1:B1"/>
  </mergeCells>
  <conditionalFormatting sqref="B8:B18">
    <cfRule type="containsText" dxfId="993" priority="1" operator="containsText" text="Hear">
      <formula>NOT(ISERROR(SEARCH("Hear",B8)))</formula>
    </cfRule>
  </conditionalFormatting>
  <conditionalFormatting sqref="B30">
    <cfRule type="containsText" dxfId="992" priority="4" operator="containsText" text="Hear">
      <formula>NOT(ISERROR(SEARCH("Hear",B30)))</formula>
    </cfRule>
  </conditionalFormatting>
  <conditionalFormatting sqref="B43:B44">
    <cfRule type="containsText" dxfId="991" priority="8" operator="containsText" text="Hear">
      <formula>NOT(ISERROR(SEARCH("Hear",B43)))</formula>
    </cfRule>
  </conditionalFormatting>
  <conditionalFormatting sqref="E44">
    <cfRule type="containsText" dxfId="990" priority="6" operator="containsText" text="WEB SERVICE">
      <formula>NOT(ISERROR(SEARCH("WEB SERVICE",E44)))</formula>
    </cfRule>
    <cfRule type="containsText" dxfId="989" priority="7" operator="containsText" text="DB">
      <formula>NOT(ISERROR(SEARCH("DB",E44)))</formula>
    </cfRule>
  </conditionalFormatting>
  <conditionalFormatting sqref="C44">
    <cfRule type="expression" dxfId="988" priority="9">
      <formula>$B44="Dial"</formula>
    </cfRule>
  </conditionalFormatting>
  <conditionalFormatting sqref="C44">
    <cfRule type="expression" dxfId="987" priority="3">
      <formula>$B44="Speak"</formula>
    </cfRule>
  </conditionalFormatting>
  <conditionalFormatting sqref="B19:B29 B31:B35 B42">
    <cfRule type="containsText" dxfId="986" priority="5" operator="containsText" text="Hear">
      <formula>NOT(ISERROR(SEARCH("Hear",B19)))</formula>
    </cfRule>
  </conditionalFormatting>
  <hyperlinks>
    <hyperlink ref="A1" location="'Test Case Overview'!A1" display="Return to Test Case Overview" xr:uid="{00000000-0004-0000-A2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81E5FDD9-1089-4B52-8841-108843515EBE}">
            <xm:f>'TC1'!$B8="HANGUP"</xm:f>
            <x14:dxf>
              <font>
                <b/>
                <i val="0"/>
              </font>
            </x14:dxf>
          </x14:cfRule>
          <xm:sqref>C8</xm:sqref>
        </x14:conditionalFormatting>
        <x14:conditionalFormatting xmlns:xm="http://schemas.microsoft.com/office/excel/2006/main">
          <x14:cfRule type="expression" priority="3297" id="{81E5FDD9-1089-4B52-8841-108843515EBE}">
            <xm:f>'TC1'!$B14="HANGUP"</xm:f>
            <x14:dxf>
              <font>
                <b/>
                <i val="0"/>
              </font>
            </x14:dxf>
          </x14:cfRule>
          <xm:sqref>C34:C43</xm:sqref>
        </x14:conditionalFormatting>
        <x14:conditionalFormatting xmlns:xm="http://schemas.microsoft.com/office/excel/2006/main">
          <x14:cfRule type="expression" priority="3298" id="{81E5FDD9-1089-4B52-8841-108843515EBE}">
            <xm:f>'TC1'!#REF!="HANGUP"</xm:f>
            <x14:dxf>
              <font>
                <b/>
                <i val="0"/>
              </font>
            </x14:dxf>
          </x14:cfRule>
          <xm:sqref>C13:C33</xm:sqref>
        </x14:conditionalFormatting>
        <x14:conditionalFormatting xmlns:xm="http://schemas.microsoft.com/office/excel/2006/main">
          <x14:cfRule type="expression" priority="4575" id="{81E5FDD9-1089-4B52-8841-108843515EBE}">
            <xm:f>'TC1'!$B10="HANGUP"</xm:f>
            <x14:dxf>
              <font>
                <b/>
                <i val="0"/>
              </font>
            </x14:dxf>
          </x14:cfRule>
          <xm:sqref>C9:C12</xm:sqref>
        </x14:conditionalFormatting>
      </x14:conditionalFormattings>
    </ext>
  </extLst>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sheetPr codeName="Sheet165"/>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TC163</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VLOOKUP(Table257519913140106110151155170178204235[[#This Row],[PEG]],Table1016[#All],2,FALSE)</f>
        <v>#N/A</v>
      </c>
      <c r="D9" s="125"/>
      <c r="E9" s="122" t="e">
        <f>VLOOKUP(Table257519913140106110151155170178204235[[#This Row],[PEG]],Table1016[#All],3,FALSE)</f>
        <v>#N/A</v>
      </c>
    </row>
    <row r="10" spans="1:5">
      <c r="A10" s="114">
        <v>3</v>
      </c>
      <c r="B10" s="110" t="s">
        <v>115</v>
      </c>
      <c r="C10" s="105" t="e">
        <f>VLOOKUP(Table257519913140106110151155170178204235[[#This Row],[PEG]],Table1016[#All],2,FALSE)</f>
        <v>#N/A</v>
      </c>
      <c r="D10" s="125"/>
      <c r="E10" s="122" t="e">
        <f>VLOOKUP(Table257519913140106110151155170178204235[[#This Row],[PEG]],Table1016[#All],3,FALSE)</f>
        <v>#N/A</v>
      </c>
    </row>
    <row r="11" spans="1:5">
      <c r="A11" s="114">
        <v>4</v>
      </c>
      <c r="B11" s="110" t="s">
        <v>115</v>
      </c>
      <c r="C11" s="105" t="e">
        <f>VLOOKUP(Table257519913140106110151155170178204235[[#This Row],[PEG]],Table1016[#All],2,FALSE)</f>
        <v>#N/A</v>
      </c>
      <c r="D11" s="125"/>
      <c r="E11" s="122" t="e">
        <f>VLOOKUP(Table257519913140106110151155170178204235[[#This Row],[PEG]],Table1016[#All],3,FALSE)</f>
        <v>#N/A</v>
      </c>
    </row>
    <row r="12" spans="1:5">
      <c r="A12" s="114">
        <v>5</v>
      </c>
      <c r="B12" s="110" t="s">
        <v>114</v>
      </c>
      <c r="C12" s="105" t="e">
        <f>VLOOKUP(Table257519913140106110151155170178204235[[#This Row],[PEG]],Table1016[#All],2,FALSE)</f>
        <v>#N/A</v>
      </c>
      <c r="D12" s="125"/>
      <c r="E12" s="122" t="e">
        <f>VLOOKUP(Table257519913140106110151155170178204235[[#This Row],[PEG]],Table1016[#All],3,FALSE)</f>
        <v>#N/A</v>
      </c>
    </row>
    <row r="13" spans="1:5">
      <c r="A13" s="114">
        <v>6</v>
      </c>
      <c r="B13" s="110" t="s">
        <v>115</v>
      </c>
      <c r="C13" s="105" t="e">
        <f>VLOOKUP(Table257519913140106110151155170178204235[[#This Row],[PEG]],Table1016[#All],2,FALSE)</f>
        <v>#N/A</v>
      </c>
      <c r="D13" s="125"/>
      <c r="E13" s="122" t="e">
        <f>VLOOKUP(Table257519913140106110151155170178204235[[#This Row],[PEG]],Table1016[#All],3,FALSE)</f>
        <v>#N/A</v>
      </c>
    </row>
    <row r="14" spans="1:5">
      <c r="A14" s="114">
        <v>7</v>
      </c>
      <c r="B14" s="110" t="s">
        <v>114</v>
      </c>
      <c r="C14" s="105" t="e">
        <f>VLOOKUP(Table257519913140106110151155170178204235[[#This Row],[PEG]],Table1016[#All],2,FALSE)</f>
        <v>#N/A</v>
      </c>
      <c r="D14" s="125"/>
      <c r="E14" s="122" t="e">
        <f>VLOOKUP(Table257519913140106110151155170178204235[[#This Row],[PEG]],Table1016[#All],3,FALSE)</f>
        <v>#N/A</v>
      </c>
    </row>
    <row r="15" spans="1:5">
      <c r="A15" s="114">
        <v>8</v>
      </c>
      <c r="B15" s="110" t="s">
        <v>115</v>
      </c>
      <c r="C15" s="105" t="e">
        <f>VLOOKUP(Table257519913140106110151155170178204235[[#This Row],[PEG]],Table1016[#All],2,FALSE)</f>
        <v>#N/A</v>
      </c>
      <c r="D15" s="112"/>
      <c r="E15" s="122" t="e">
        <f>VLOOKUP(Table257519913140106110151155170178204235[[#This Row],[PEG]],Table1016[#All],3,FALSE)</f>
        <v>#N/A</v>
      </c>
    </row>
    <row r="16" spans="1:5">
      <c r="A16" s="114">
        <v>9</v>
      </c>
      <c r="B16" s="110" t="s">
        <v>12</v>
      </c>
      <c r="C16" s="105" t="e">
        <f>VLOOKUP(Table257519913140106110151155170178204235[[#This Row],[PEG]],Table1016[#All],2,FALSE)</f>
        <v>#N/A</v>
      </c>
      <c r="D16" s="112"/>
      <c r="E16" s="122" t="e">
        <f>VLOOKUP(Table257519913140106110151155170178204235[[#This Row],[PEG]],Table1016[#All],3,FALSE)</f>
        <v>#N/A</v>
      </c>
    </row>
    <row r="17" spans="1:5">
      <c r="A17" s="114">
        <v>10</v>
      </c>
      <c r="B17" s="110" t="s">
        <v>12</v>
      </c>
      <c r="C17" s="105" t="e">
        <f>VLOOKUP(Table257519913140106110151155170178204235[[#This Row],[PEG]],Table1016[#All],2,FALSE)</f>
        <v>#N/A</v>
      </c>
      <c r="D17" s="113"/>
      <c r="E17" s="122" t="e">
        <f>VLOOKUP(Table257519913140106110151155170178204235[[#This Row],[PEG]],Table1016[#All],3,FALSE)</f>
        <v>#N/A</v>
      </c>
    </row>
    <row r="18" spans="1:5">
      <c r="A18" s="114">
        <v>11</v>
      </c>
      <c r="B18" s="110" t="s">
        <v>115</v>
      </c>
      <c r="C18" s="105" t="e">
        <f>VLOOKUP(Table257519913140106110151155170178204235[[#This Row],[PEG]],Table1016[#All],2,FALSE)</f>
        <v>#N/A</v>
      </c>
      <c r="D18" s="113"/>
      <c r="E18" s="122" t="e">
        <f>VLOOKUP(Table257519913140106110151155170178204235[[#This Row],[PEG]],Table1016[#All],3,FALSE)</f>
        <v>#N/A</v>
      </c>
    </row>
    <row r="19" spans="1:5">
      <c r="A19" s="114">
        <v>12</v>
      </c>
      <c r="B19" s="110" t="s">
        <v>115</v>
      </c>
      <c r="C19" s="105" t="e">
        <f>VLOOKUP(Table257519913140106110151155170178204235[[#This Row],[PEG]],Table1016[#All],2,FALSE)</f>
        <v>#N/A</v>
      </c>
      <c r="D19" s="113"/>
      <c r="E19" s="122" t="e">
        <f>VLOOKUP(Table257519913140106110151155170178204235[[#This Row],[PEG]],Table1016[#All],3,FALSE)</f>
        <v>#N/A</v>
      </c>
    </row>
    <row r="20" spans="1:5">
      <c r="A20" s="114">
        <v>13</v>
      </c>
      <c r="B20" s="110" t="s">
        <v>114</v>
      </c>
      <c r="C20" s="105" t="e">
        <f>VLOOKUP(Table257519913140106110151155170178204235[[#This Row],[PEG]],Table1016[#All],2,FALSE)</f>
        <v>#N/A</v>
      </c>
      <c r="D20" s="113"/>
      <c r="E20" s="122" t="e">
        <f>VLOOKUP(Table257519913140106110151155170178204235[[#This Row],[PEG]],Table1016[#All],3,FALSE)</f>
        <v>#N/A</v>
      </c>
    </row>
    <row r="21" spans="1:5">
      <c r="A21" s="114">
        <v>14</v>
      </c>
      <c r="B21" s="110" t="s">
        <v>12</v>
      </c>
      <c r="C21" s="105" t="e">
        <f>VLOOKUP(Table257519913140106110151155170178204235[[#This Row],[PEG]],Table1016[#All],2,FALSE)</f>
        <v>#N/A</v>
      </c>
      <c r="D21" s="113"/>
      <c r="E21" s="122" t="e">
        <f>VLOOKUP(Table257519913140106110151155170178204235[[#This Row],[PEG]],Table1016[#All],3,FALSE)</f>
        <v>#N/A</v>
      </c>
    </row>
    <row r="22" spans="1:5">
      <c r="A22" s="114">
        <v>15</v>
      </c>
      <c r="B22" s="110" t="s">
        <v>12</v>
      </c>
      <c r="C22" s="105" t="e">
        <f>VLOOKUP(Table257519913140106110151155170178204235[[#This Row],[PEG]],Table1016[#All],2,FALSE)</f>
        <v>#N/A</v>
      </c>
      <c r="D22" s="113"/>
      <c r="E22" s="122" t="e">
        <f>VLOOKUP(Table257519913140106110151155170178204235[[#This Row],[PEG]],Table1016[#All],3,FALSE)</f>
        <v>#N/A</v>
      </c>
    </row>
    <row r="23" spans="1:5">
      <c r="A23" s="114">
        <v>16</v>
      </c>
      <c r="B23" s="110" t="s">
        <v>115</v>
      </c>
      <c r="C23" s="105" t="e">
        <f>VLOOKUP(Table257519913140106110151155170178204235[[#This Row],[PEG]],Table1016[#All],2,FALSE)</f>
        <v>#N/A</v>
      </c>
      <c r="D23" s="113"/>
      <c r="E23" s="122" t="e">
        <f>VLOOKUP(Table257519913140106110151155170178204235[[#This Row],[PEG]],Table1016[#All],3,FALSE)</f>
        <v>#N/A</v>
      </c>
    </row>
    <row r="24" spans="1:5">
      <c r="A24" s="114">
        <v>17</v>
      </c>
      <c r="B24" s="110" t="s">
        <v>114</v>
      </c>
      <c r="C24" s="105" t="e">
        <f>VLOOKUP(Table257519913140106110151155170178204235[[#This Row],[PEG]],Table1016[#All],2,FALSE)</f>
        <v>#N/A</v>
      </c>
      <c r="D24" s="113"/>
      <c r="E24" s="122" t="e">
        <f>VLOOKUP(Table257519913140106110151155170178204235[[#This Row],[PEG]],Table1016[#All],3,FALSE)</f>
        <v>#N/A</v>
      </c>
    </row>
    <row r="25" spans="1:5">
      <c r="A25" s="114">
        <v>18</v>
      </c>
      <c r="B25" s="110" t="s">
        <v>12</v>
      </c>
      <c r="C25" s="105" t="e">
        <f>VLOOKUP(Table257519913140106110151155170178204235[[#This Row],[PEG]],Table1016[#All],2,FALSE)</f>
        <v>#N/A</v>
      </c>
      <c r="D25" s="113"/>
      <c r="E25" s="122" t="e">
        <f>VLOOKUP(Table257519913140106110151155170178204235[[#This Row],[PEG]],Table1016[#All],3,FALSE)</f>
        <v>#N/A</v>
      </c>
    </row>
    <row r="26" spans="1:5">
      <c r="A26" s="114">
        <v>19</v>
      </c>
      <c r="B26" s="110" t="s">
        <v>12</v>
      </c>
      <c r="C26" s="105" t="e">
        <f>VLOOKUP(Table257519913140106110151155170178204235[[#This Row],[PEG]],Table1016[#All],2,FALSE)</f>
        <v>#N/A</v>
      </c>
      <c r="D26" s="113"/>
      <c r="E26" s="122" t="e">
        <f>VLOOKUP(Table257519913140106110151155170178204235[[#This Row],[PEG]],Table1016[#All],3,FALSE)</f>
        <v>#N/A</v>
      </c>
    </row>
    <row r="27" spans="1:5">
      <c r="A27" s="114">
        <v>20</v>
      </c>
      <c r="B27" s="110" t="s">
        <v>115</v>
      </c>
      <c r="C27" s="105" t="e">
        <f>VLOOKUP(Table257519913140106110151155170178204235[[#This Row],[PEG]],Table1016[#All],2,FALSE)</f>
        <v>#N/A</v>
      </c>
      <c r="D27" s="113"/>
      <c r="E27" s="122" t="e">
        <f>VLOOKUP(Table257519913140106110151155170178204235[[#This Row],[PEG]],Table1016[#All],3,FALSE)</f>
        <v>#N/A</v>
      </c>
    </row>
    <row r="28" spans="1:5">
      <c r="A28" s="114">
        <v>21</v>
      </c>
      <c r="B28" s="110" t="s">
        <v>114</v>
      </c>
      <c r="C28" s="105" t="e">
        <f>VLOOKUP(Table257519913140106110151155170178204235[[#This Row],[PEG]],Table1016[#All],2,FALSE)</f>
        <v>#N/A</v>
      </c>
      <c r="D28" s="113"/>
      <c r="E28" s="122" t="e">
        <f>VLOOKUP(Table257519913140106110151155170178204235[[#This Row],[PEG]],Table1016[#All],3,FALSE)</f>
        <v>#N/A</v>
      </c>
    </row>
    <row r="29" spans="1:5">
      <c r="A29" s="114">
        <v>22</v>
      </c>
      <c r="B29" s="110" t="s">
        <v>12</v>
      </c>
      <c r="C29" s="105" t="e">
        <f>VLOOKUP(Table257519913140106110151155170178204235[[#This Row],[PEG]],Table1016[#All],2,FALSE)</f>
        <v>#N/A</v>
      </c>
      <c r="D29" s="113"/>
      <c r="E29" s="122" t="e">
        <f>VLOOKUP(Table257519913140106110151155170178204235[[#This Row],[PEG]],Table1016[#All],3,FALSE)</f>
        <v>#N/A</v>
      </c>
    </row>
    <row r="30" spans="1:5">
      <c r="A30" s="114">
        <v>23</v>
      </c>
      <c r="B30" s="110" t="s">
        <v>12</v>
      </c>
      <c r="C30" s="105" t="e">
        <f>VLOOKUP(Table257519913140106110151155170178204235[[#This Row],[PEG]],Table1016[#All],2,FALSE)</f>
        <v>#N/A</v>
      </c>
      <c r="D30" s="113"/>
      <c r="E30" s="122" t="e">
        <f>VLOOKUP(Table257519913140106110151155170178204235[[#This Row],[PEG]],Table1016[#All],3,FALSE)</f>
        <v>#N/A</v>
      </c>
    </row>
    <row r="31" spans="1:5">
      <c r="A31" s="114">
        <v>24</v>
      </c>
      <c r="B31" s="110" t="s">
        <v>115</v>
      </c>
      <c r="C31" s="105" t="e">
        <f>VLOOKUP(Table257519913140106110151155170178204235[[#This Row],[PEG]],Table1016[#All],2,FALSE)</f>
        <v>#N/A</v>
      </c>
      <c r="D31" s="113"/>
      <c r="E31" s="122" t="e">
        <f>VLOOKUP(Table257519913140106110151155170178204235[[#This Row],[PEG]],Table1016[#All],3,FALSE)</f>
        <v>#N/A</v>
      </c>
    </row>
    <row r="32" spans="1:5">
      <c r="A32" s="114">
        <v>25</v>
      </c>
      <c r="B32" s="110" t="s">
        <v>115</v>
      </c>
      <c r="C32" s="105" t="e">
        <f>VLOOKUP(Table257519913140106110151155170178204235[[#This Row],[PEG]],Table1016[#All],2,FALSE)</f>
        <v>#N/A</v>
      </c>
      <c r="D32" s="113"/>
      <c r="E32" s="122" t="e">
        <f>VLOOKUP(Table257519913140106110151155170178204235[[#This Row],[PEG]],Table1016[#All],3,FALSE)</f>
        <v>#N/A</v>
      </c>
    </row>
    <row r="33" spans="1:5">
      <c r="A33" s="114">
        <v>26</v>
      </c>
      <c r="B33" s="110" t="s">
        <v>124</v>
      </c>
      <c r="C33" s="105" t="e">
        <f>VLOOKUP(Table257519913140106110151155170178204235[[#This Row],[PEG]],Table1016[#All],2,FALSE)</f>
        <v>#N/A</v>
      </c>
      <c r="D33" s="113"/>
      <c r="E33" s="122" t="e">
        <f>VLOOKUP(Table257519913140106110151155170178204235[[#This Row],[PEG]],Table1016[#All],3,FALSE)</f>
        <v>#N/A</v>
      </c>
    </row>
    <row r="34" spans="1:5">
      <c r="A34" s="114">
        <v>27</v>
      </c>
      <c r="B34" s="110" t="s">
        <v>115</v>
      </c>
      <c r="C34" s="105" t="e">
        <f>VLOOKUP(Table257519913140106110151155170178204235[[#This Row],[PEG]],Table1016[#All],2,FALSE)</f>
        <v>#N/A</v>
      </c>
      <c r="D34" s="113"/>
      <c r="E34" s="122" t="e">
        <f>VLOOKUP(Table257519913140106110151155170178204235[[#This Row],[PEG]],Table1016[#All],3,FALSE)</f>
        <v>#N/A</v>
      </c>
    </row>
    <row r="35" spans="1:5">
      <c r="A35" s="114">
        <v>28</v>
      </c>
      <c r="B35" s="110" t="s">
        <v>124</v>
      </c>
      <c r="C35" s="105" t="e">
        <f>VLOOKUP(Table257519913140106110151155170178204235[[#This Row],[PEG]],Table1016[#All],2,FALSE)</f>
        <v>#N/A</v>
      </c>
      <c r="D35" s="113"/>
      <c r="E35" s="122" t="e">
        <f>VLOOKUP(Table257519913140106110151155170178204235[[#This Row],[PEG]],Table1016[#All],3,FALSE)</f>
        <v>#N/A</v>
      </c>
    </row>
    <row r="36" spans="1:5">
      <c r="A36" s="114">
        <v>29</v>
      </c>
      <c r="B36" s="110" t="s">
        <v>115</v>
      </c>
      <c r="C36" s="105" t="e">
        <f>VLOOKUP(Table257519913140106110151155170178204235[[#This Row],[PEG]],Table1016[#All],2,FALSE)</f>
        <v>#N/A</v>
      </c>
      <c r="D36" s="113"/>
      <c r="E36" s="122" t="e">
        <f>VLOOKUP(Table257519913140106110151155170178204235[[#This Row],[PEG]],Table1016[#All],3,FALSE)</f>
        <v>#N/A</v>
      </c>
    </row>
    <row r="37" spans="1:5">
      <c r="A37" s="114">
        <v>30</v>
      </c>
      <c r="B37" s="110" t="s">
        <v>12</v>
      </c>
      <c r="C37" s="105" t="e">
        <f>VLOOKUP(Table257519913140106110151155170178204235[[#This Row],[PEG]],Table1016[#All],2,FALSE)</f>
        <v>#N/A</v>
      </c>
      <c r="D37" s="113"/>
      <c r="E37" s="122" t="e">
        <f>VLOOKUP(Table257519913140106110151155170178204235[[#This Row],[PEG]],Table1016[#All],3,FALSE)</f>
        <v>#N/A</v>
      </c>
    </row>
    <row r="38" spans="1:5">
      <c r="A38" s="114">
        <v>31</v>
      </c>
      <c r="B38" s="110" t="s">
        <v>12</v>
      </c>
      <c r="C38" s="105" t="e">
        <f>VLOOKUP(Table257519913140106110151155170178204235[[#This Row],[PEG]],Table1016[#All],2,FALSE)</f>
        <v>#N/A</v>
      </c>
      <c r="D38" s="113"/>
      <c r="E38" s="122" t="e">
        <f>VLOOKUP(Table257519913140106110151155170178204235[[#This Row],[PEG]],Table1016[#All],3,FALSE)</f>
        <v>#N/A</v>
      </c>
    </row>
    <row r="39" spans="1:5">
      <c r="A39" s="114">
        <v>32</v>
      </c>
      <c r="B39" s="110" t="s">
        <v>12</v>
      </c>
      <c r="C39" s="105" t="e">
        <f>VLOOKUP(Table257519913140106110151155170178204235[[#This Row],[PEG]],Table1016[#All],2,FALSE)</f>
        <v>#N/A</v>
      </c>
      <c r="D39" s="113"/>
      <c r="E39" s="122" t="e">
        <f>VLOOKUP(Table257519913140106110151155170178204235[[#This Row],[PEG]],Table1016[#All],3,FALSE)</f>
        <v>#N/A</v>
      </c>
    </row>
    <row r="40" spans="1:5">
      <c r="A40" s="114">
        <v>33</v>
      </c>
      <c r="B40" s="110" t="s">
        <v>12</v>
      </c>
      <c r="C40" s="105" t="e">
        <f>VLOOKUP(Table257519913140106110151155170178204235[[#This Row],[PEG]],Table1016[#All],2,FALSE)</f>
        <v>#N/A</v>
      </c>
      <c r="D40" s="113"/>
      <c r="E40" s="122" t="e">
        <f>VLOOKUP(Table257519913140106110151155170178204235[[#This Row],[PEG]],Table1016[#All],3,FALSE)</f>
        <v>#N/A</v>
      </c>
    </row>
    <row r="41" spans="1:5">
      <c r="A41" s="114">
        <v>34</v>
      </c>
      <c r="B41" s="110" t="s">
        <v>115</v>
      </c>
      <c r="C41" s="105" t="e">
        <f>VLOOKUP(Table257519913140106110151155170178204235[[#This Row],[PEG]],Table1016[#All],2,FALSE)</f>
        <v>#N/A</v>
      </c>
      <c r="D41" s="113"/>
      <c r="E41" s="122" t="e">
        <f>VLOOKUP(Table257519913140106110151155170178204235[[#This Row],[PEG]],Table1016[#All],3,FALSE)</f>
        <v>#N/A</v>
      </c>
    </row>
    <row r="42" spans="1:5">
      <c r="A42" s="114">
        <v>35</v>
      </c>
      <c r="B42" s="110" t="s">
        <v>12</v>
      </c>
      <c r="C42" s="105" t="e">
        <f>VLOOKUP(Table257519913140106110151155170178204235[[#This Row],[PEG]],Table1016[#All],2,FALSE)</f>
        <v>#N/A</v>
      </c>
      <c r="D42" s="111"/>
      <c r="E42" s="122" t="e">
        <f>VLOOKUP(Table257519913140106110151155170178204235[[#This Row],[PEG]],Table1016[#All],3,FALSE)</f>
        <v>#N/A</v>
      </c>
    </row>
    <row r="43" spans="1:5">
      <c r="A43" s="114">
        <v>36</v>
      </c>
      <c r="B43" s="110" t="s">
        <v>115</v>
      </c>
      <c r="C43" s="105" t="e">
        <f>VLOOKUP(Table257519913140106110151155170178204235[[#This Row],[PEG]],Table1016[#All],2,FALSE)</f>
        <v>#N/A</v>
      </c>
      <c r="D43" s="111"/>
      <c r="E43" s="122" t="e">
        <f>VLOOKUP(Table257519913140106110151155170178204235[[#This Row],[PEG]],Table1016[#All],3,FALSE)</f>
        <v>#N/A</v>
      </c>
    </row>
    <row r="44" spans="1:5">
      <c r="A44" s="114">
        <v>37</v>
      </c>
      <c r="B44" s="110" t="s">
        <v>13</v>
      </c>
      <c r="C44" s="17" t="s">
        <v>13</v>
      </c>
      <c r="D44" s="111"/>
      <c r="E44" s="31"/>
    </row>
  </sheetData>
  <mergeCells count="1">
    <mergeCell ref="A1:B1"/>
  </mergeCells>
  <conditionalFormatting sqref="B8:B18">
    <cfRule type="containsText" dxfId="972" priority="1" operator="containsText" text="Hear">
      <formula>NOT(ISERROR(SEARCH("Hear",B8)))</formula>
    </cfRule>
  </conditionalFormatting>
  <conditionalFormatting sqref="B30">
    <cfRule type="containsText" dxfId="971" priority="4" operator="containsText" text="Hear">
      <formula>NOT(ISERROR(SEARCH("Hear",B30)))</formula>
    </cfRule>
  </conditionalFormatting>
  <conditionalFormatting sqref="B43:B44">
    <cfRule type="containsText" dxfId="970" priority="8" operator="containsText" text="Hear">
      <formula>NOT(ISERROR(SEARCH("Hear",B43)))</formula>
    </cfRule>
  </conditionalFormatting>
  <conditionalFormatting sqref="E44">
    <cfRule type="containsText" dxfId="969" priority="6" operator="containsText" text="WEB SERVICE">
      <formula>NOT(ISERROR(SEARCH("WEB SERVICE",E44)))</formula>
    </cfRule>
    <cfRule type="containsText" dxfId="968" priority="7" operator="containsText" text="DB">
      <formula>NOT(ISERROR(SEARCH("DB",E44)))</formula>
    </cfRule>
  </conditionalFormatting>
  <conditionalFormatting sqref="C44">
    <cfRule type="expression" dxfId="967" priority="9">
      <formula>$B44="Dial"</formula>
    </cfRule>
  </conditionalFormatting>
  <conditionalFormatting sqref="C44">
    <cfRule type="expression" dxfId="966" priority="3">
      <formula>$B44="Speak"</formula>
    </cfRule>
  </conditionalFormatting>
  <conditionalFormatting sqref="B19:B29 B31:B35 B42">
    <cfRule type="containsText" dxfId="965" priority="5" operator="containsText" text="Hear">
      <formula>NOT(ISERROR(SEARCH("Hear",B19)))</formula>
    </cfRule>
  </conditionalFormatting>
  <hyperlinks>
    <hyperlink ref="A1" location="'Test Case Overview'!A1" display="Return to Test Case Overview" xr:uid="{00000000-0004-0000-A3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1CE7D0B1-E141-47EE-9DA1-9214CCAA4880}">
            <xm:f>'TC1'!$B8="HANGUP"</xm:f>
            <x14:dxf>
              <font>
                <b/>
                <i val="0"/>
              </font>
            </x14:dxf>
          </x14:cfRule>
          <xm:sqref>C8</xm:sqref>
        </x14:conditionalFormatting>
        <x14:conditionalFormatting xmlns:xm="http://schemas.microsoft.com/office/excel/2006/main">
          <x14:cfRule type="expression" priority="3301" id="{1CE7D0B1-E141-47EE-9DA1-9214CCAA4880}">
            <xm:f>'TC1'!$B14="HANGUP"</xm:f>
            <x14:dxf>
              <font>
                <b/>
                <i val="0"/>
              </font>
            </x14:dxf>
          </x14:cfRule>
          <xm:sqref>C34:C43</xm:sqref>
        </x14:conditionalFormatting>
        <x14:conditionalFormatting xmlns:xm="http://schemas.microsoft.com/office/excel/2006/main">
          <x14:cfRule type="expression" priority="3302" id="{1CE7D0B1-E141-47EE-9DA1-9214CCAA4880}">
            <xm:f>'TC1'!#REF!="HANGUP"</xm:f>
            <x14:dxf>
              <font>
                <b/>
                <i val="0"/>
              </font>
            </x14:dxf>
          </x14:cfRule>
          <xm:sqref>C13:C33</xm:sqref>
        </x14:conditionalFormatting>
        <x14:conditionalFormatting xmlns:xm="http://schemas.microsoft.com/office/excel/2006/main">
          <x14:cfRule type="expression" priority="4577" id="{1CE7D0B1-E141-47EE-9DA1-9214CCAA4880}">
            <xm:f>'TC1'!$B10="HANGUP"</xm:f>
            <x14:dxf>
              <font>
                <b/>
                <i val="0"/>
              </font>
            </x14:dxf>
          </x14:cfRule>
          <xm:sqref>C9:C12</xm:sqref>
        </x14:conditionalFormatting>
      </x14:conditionalFormattings>
    </ext>
  </extLst>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sheetPr codeName="Sheet166"/>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TC164</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VLOOKUP(Table257519913140106110151155170178204237[[#This Row],[PEG]],Table1016[#All],2,FALSE)</f>
        <v>#N/A</v>
      </c>
      <c r="D9" s="125"/>
      <c r="E9" s="122" t="e">
        <f>VLOOKUP(Table257519913140106110151155170178204237[[#This Row],[PEG]],Table1016[#All],3,FALSE)</f>
        <v>#N/A</v>
      </c>
    </row>
    <row r="10" spans="1:5">
      <c r="A10" s="114">
        <v>3</v>
      </c>
      <c r="B10" s="110" t="s">
        <v>115</v>
      </c>
      <c r="C10" s="105" t="e">
        <f>VLOOKUP(Table257519913140106110151155170178204237[[#This Row],[PEG]],Table1016[#All],2,FALSE)</f>
        <v>#N/A</v>
      </c>
      <c r="D10" s="125"/>
      <c r="E10" s="122" t="e">
        <f>VLOOKUP(Table257519913140106110151155170178204237[[#This Row],[PEG]],Table1016[#All],3,FALSE)</f>
        <v>#N/A</v>
      </c>
    </row>
    <row r="11" spans="1:5">
      <c r="A11" s="114">
        <v>4</v>
      </c>
      <c r="B11" s="110" t="s">
        <v>115</v>
      </c>
      <c r="C11" s="105" t="e">
        <f>VLOOKUP(Table257519913140106110151155170178204237[[#This Row],[PEG]],Table1016[#All],2,FALSE)</f>
        <v>#N/A</v>
      </c>
      <c r="D11" s="125"/>
      <c r="E11" s="122" t="e">
        <f>VLOOKUP(Table257519913140106110151155170178204237[[#This Row],[PEG]],Table1016[#All],3,FALSE)</f>
        <v>#N/A</v>
      </c>
    </row>
    <row r="12" spans="1:5">
      <c r="A12" s="114">
        <v>5</v>
      </c>
      <c r="B12" s="110" t="s">
        <v>114</v>
      </c>
      <c r="C12" s="105" t="e">
        <f>VLOOKUP(Table257519913140106110151155170178204237[[#This Row],[PEG]],Table1016[#All],2,FALSE)</f>
        <v>#N/A</v>
      </c>
      <c r="D12" s="125"/>
      <c r="E12" s="122" t="e">
        <f>VLOOKUP(Table257519913140106110151155170178204237[[#This Row],[PEG]],Table1016[#All],3,FALSE)</f>
        <v>#N/A</v>
      </c>
    </row>
    <row r="13" spans="1:5">
      <c r="A13" s="114">
        <v>6</v>
      </c>
      <c r="B13" s="110" t="s">
        <v>115</v>
      </c>
      <c r="C13" s="105" t="e">
        <f>VLOOKUP(Table257519913140106110151155170178204237[[#This Row],[PEG]],Table1016[#All],2,FALSE)</f>
        <v>#N/A</v>
      </c>
      <c r="D13" s="125"/>
      <c r="E13" s="122" t="e">
        <f>VLOOKUP(Table257519913140106110151155170178204237[[#This Row],[PEG]],Table1016[#All],3,FALSE)</f>
        <v>#N/A</v>
      </c>
    </row>
    <row r="14" spans="1:5">
      <c r="A14" s="114">
        <v>7</v>
      </c>
      <c r="B14" s="110" t="s">
        <v>114</v>
      </c>
      <c r="C14" s="105" t="e">
        <f>VLOOKUP(Table257519913140106110151155170178204237[[#This Row],[PEG]],Table1016[#All],2,FALSE)</f>
        <v>#N/A</v>
      </c>
      <c r="D14" s="125"/>
      <c r="E14" s="122" t="e">
        <f>VLOOKUP(Table257519913140106110151155170178204237[[#This Row],[PEG]],Table1016[#All],3,FALSE)</f>
        <v>#N/A</v>
      </c>
    </row>
    <row r="15" spans="1:5">
      <c r="A15" s="114">
        <v>8</v>
      </c>
      <c r="B15" s="110" t="s">
        <v>115</v>
      </c>
      <c r="C15" s="105" t="e">
        <f>VLOOKUP(Table257519913140106110151155170178204237[[#This Row],[PEG]],Table1016[#All],2,FALSE)</f>
        <v>#N/A</v>
      </c>
      <c r="D15" s="112"/>
      <c r="E15" s="122" t="e">
        <f>VLOOKUP(Table257519913140106110151155170178204237[[#This Row],[PEG]],Table1016[#All],3,FALSE)</f>
        <v>#N/A</v>
      </c>
    </row>
    <row r="16" spans="1:5">
      <c r="A16" s="114">
        <v>9</v>
      </c>
      <c r="B16" s="110" t="s">
        <v>12</v>
      </c>
      <c r="C16" s="105" t="e">
        <f>VLOOKUP(Table257519913140106110151155170178204237[[#This Row],[PEG]],Table1016[#All],2,FALSE)</f>
        <v>#N/A</v>
      </c>
      <c r="D16" s="112"/>
      <c r="E16" s="122" t="e">
        <f>VLOOKUP(Table257519913140106110151155170178204237[[#This Row],[PEG]],Table1016[#All],3,FALSE)</f>
        <v>#N/A</v>
      </c>
    </row>
    <row r="17" spans="1:5">
      <c r="A17" s="114">
        <v>10</v>
      </c>
      <c r="B17" s="110" t="s">
        <v>12</v>
      </c>
      <c r="C17" s="105" t="e">
        <f>VLOOKUP(Table257519913140106110151155170178204237[[#This Row],[PEG]],Table1016[#All],2,FALSE)</f>
        <v>#N/A</v>
      </c>
      <c r="D17" s="113"/>
      <c r="E17" s="122" t="e">
        <f>VLOOKUP(Table257519913140106110151155170178204237[[#This Row],[PEG]],Table1016[#All],3,FALSE)</f>
        <v>#N/A</v>
      </c>
    </row>
    <row r="18" spans="1:5">
      <c r="A18" s="114">
        <v>11</v>
      </c>
      <c r="B18" s="110" t="s">
        <v>115</v>
      </c>
      <c r="C18" s="105" t="e">
        <f>VLOOKUP(Table257519913140106110151155170178204237[[#This Row],[PEG]],Table1016[#All],2,FALSE)</f>
        <v>#N/A</v>
      </c>
      <c r="D18" s="113"/>
      <c r="E18" s="122" t="e">
        <f>VLOOKUP(Table257519913140106110151155170178204237[[#This Row],[PEG]],Table1016[#All],3,FALSE)</f>
        <v>#N/A</v>
      </c>
    </row>
    <row r="19" spans="1:5">
      <c r="A19" s="114">
        <v>12</v>
      </c>
      <c r="B19" s="110" t="s">
        <v>115</v>
      </c>
      <c r="C19" s="105" t="e">
        <f>VLOOKUP(Table257519913140106110151155170178204237[[#This Row],[PEG]],Table1016[#All],2,FALSE)</f>
        <v>#N/A</v>
      </c>
      <c r="D19" s="113"/>
      <c r="E19" s="122" t="e">
        <f>VLOOKUP(Table257519913140106110151155170178204237[[#This Row],[PEG]],Table1016[#All],3,FALSE)</f>
        <v>#N/A</v>
      </c>
    </row>
    <row r="20" spans="1:5">
      <c r="A20" s="114">
        <v>13</v>
      </c>
      <c r="B20" s="110" t="s">
        <v>114</v>
      </c>
      <c r="C20" s="105" t="e">
        <f>VLOOKUP(Table257519913140106110151155170178204237[[#This Row],[PEG]],Table1016[#All],2,FALSE)</f>
        <v>#N/A</v>
      </c>
      <c r="D20" s="113"/>
      <c r="E20" s="122" t="e">
        <f>VLOOKUP(Table257519913140106110151155170178204237[[#This Row],[PEG]],Table1016[#All],3,FALSE)</f>
        <v>#N/A</v>
      </c>
    </row>
    <row r="21" spans="1:5">
      <c r="A21" s="114">
        <v>14</v>
      </c>
      <c r="B21" s="110" t="s">
        <v>12</v>
      </c>
      <c r="C21" s="105" t="e">
        <f>VLOOKUP(Table257519913140106110151155170178204237[[#This Row],[PEG]],Table1016[#All],2,FALSE)</f>
        <v>#N/A</v>
      </c>
      <c r="D21" s="113"/>
      <c r="E21" s="122" t="e">
        <f>VLOOKUP(Table257519913140106110151155170178204237[[#This Row],[PEG]],Table1016[#All],3,FALSE)</f>
        <v>#N/A</v>
      </c>
    </row>
    <row r="22" spans="1:5">
      <c r="A22" s="114">
        <v>15</v>
      </c>
      <c r="B22" s="110" t="s">
        <v>12</v>
      </c>
      <c r="C22" s="105" t="e">
        <f>VLOOKUP(Table257519913140106110151155170178204237[[#This Row],[PEG]],Table1016[#All],2,FALSE)</f>
        <v>#N/A</v>
      </c>
      <c r="D22" s="113"/>
      <c r="E22" s="122" t="e">
        <f>VLOOKUP(Table257519913140106110151155170178204237[[#This Row],[PEG]],Table1016[#All],3,FALSE)</f>
        <v>#N/A</v>
      </c>
    </row>
    <row r="23" spans="1:5">
      <c r="A23" s="114">
        <v>16</v>
      </c>
      <c r="B23" s="110" t="s">
        <v>115</v>
      </c>
      <c r="C23" s="105" t="e">
        <f>VLOOKUP(Table257519913140106110151155170178204237[[#This Row],[PEG]],Table1016[#All],2,FALSE)</f>
        <v>#N/A</v>
      </c>
      <c r="D23" s="113"/>
      <c r="E23" s="122" t="e">
        <f>VLOOKUP(Table257519913140106110151155170178204237[[#This Row],[PEG]],Table1016[#All],3,FALSE)</f>
        <v>#N/A</v>
      </c>
    </row>
    <row r="24" spans="1:5">
      <c r="A24" s="114">
        <v>17</v>
      </c>
      <c r="B24" s="110" t="s">
        <v>114</v>
      </c>
      <c r="C24" s="105" t="e">
        <f>VLOOKUP(Table257519913140106110151155170178204237[[#This Row],[PEG]],Table1016[#All],2,FALSE)</f>
        <v>#N/A</v>
      </c>
      <c r="D24" s="113"/>
      <c r="E24" s="122" t="e">
        <f>VLOOKUP(Table257519913140106110151155170178204237[[#This Row],[PEG]],Table1016[#All],3,FALSE)</f>
        <v>#N/A</v>
      </c>
    </row>
    <row r="25" spans="1:5">
      <c r="A25" s="114">
        <v>18</v>
      </c>
      <c r="B25" s="110" t="s">
        <v>12</v>
      </c>
      <c r="C25" s="105" t="e">
        <f>VLOOKUP(Table257519913140106110151155170178204237[[#This Row],[PEG]],Table1016[#All],2,FALSE)</f>
        <v>#N/A</v>
      </c>
      <c r="D25" s="113"/>
      <c r="E25" s="122" t="e">
        <f>VLOOKUP(Table257519913140106110151155170178204237[[#This Row],[PEG]],Table1016[#All],3,FALSE)</f>
        <v>#N/A</v>
      </c>
    </row>
    <row r="26" spans="1:5">
      <c r="A26" s="114">
        <v>19</v>
      </c>
      <c r="B26" s="110" t="s">
        <v>12</v>
      </c>
      <c r="C26" s="105" t="e">
        <f>VLOOKUP(Table257519913140106110151155170178204237[[#This Row],[PEG]],Table1016[#All],2,FALSE)</f>
        <v>#N/A</v>
      </c>
      <c r="D26" s="113"/>
      <c r="E26" s="122" t="e">
        <f>VLOOKUP(Table257519913140106110151155170178204237[[#This Row],[PEG]],Table1016[#All],3,FALSE)</f>
        <v>#N/A</v>
      </c>
    </row>
    <row r="27" spans="1:5">
      <c r="A27" s="114">
        <v>20</v>
      </c>
      <c r="B27" s="110" t="s">
        <v>115</v>
      </c>
      <c r="C27" s="105" t="e">
        <f>VLOOKUP(Table257519913140106110151155170178204237[[#This Row],[PEG]],Table1016[#All],2,FALSE)</f>
        <v>#N/A</v>
      </c>
      <c r="D27" s="113"/>
      <c r="E27" s="122" t="e">
        <f>VLOOKUP(Table257519913140106110151155170178204237[[#This Row],[PEG]],Table1016[#All],3,FALSE)</f>
        <v>#N/A</v>
      </c>
    </row>
    <row r="28" spans="1:5">
      <c r="A28" s="114">
        <v>21</v>
      </c>
      <c r="B28" s="110" t="s">
        <v>114</v>
      </c>
      <c r="C28" s="105" t="e">
        <f>VLOOKUP(Table257519913140106110151155170178204237[[#This Row],[PEG]],Table1016[#All],2,FALSE)</f>
        <v>#N/A</v>
      </c>
      <c r="D28" s="113"/>
      <c r="E28" s="122" t="e">
        <f>VLOOKUP(Table257519913140106110151155170178204237[[#This Row],[PEG]],Table1016[#All],3,FALSE)</f>
        <v>#N/A</v>
      </c>
    </row>
    <row r="29" spans="1:5">
      <c r="A29" s="114">
        <v>22</v>
      </c>
      <c r="B29" s="110" t="s">
        <v>12</v>
      </c>
      <c r="C29" s="105" t="e">
        <f>VLOOKUP(Table257519913140106110151155170178204237[[#This Row],[PEG]],Table1016[#All],2,FALSE)</f>
        <v>#N/A</v>
      </c>
      <c r="D29" s="113"/>
      <c r="E29" s="122" t="e">
        <f>VLOOKUP(Table257519913140106110151155170178204237[[#This Row],[PEG]],Table1016[#All],3,FALSE)</f>
        <v>#N/A</v>
      </c>
    </row>
    <row r="30" spans="1:5">
      <c r="A30" s="114">
        <v>23</v>
      </c>
      <c r="B30" s="110" t="s">
        <v>12</v>
      </c>
      <c r="C30" s="105" t="e">
        <f>VLOOKUP(Table257519913140106110151155170178204237[[#This Row],[PEG]],Table1016[#All],2,FALSE)</f>
        <v>#N/A</v>
      </c>
      <c r="D30" s="113"/>
      <c r="E30" s="122" t="e">
        <f>VLOOKUP(Table257519913140106110151155170178204237[[#This Row],[PEG]],Table1016[#All],3,FALSE)</f>
        <v>#N/A</v>
      </c>
    </row>
    <row r="31" spans="1:5">
      <c r="A31" s="114">
        <v>24</v>
      </c>
      <c r="B31" s="110" t="s">
        <v>115</v>
      </c>
      <c r="C31" s="105" t="e">
        <f>VLOOKUP(Table257519913140106110151155170178204237[[#This Row],[PEG]],Table1016[#All],2,FALSE)</f>
        <v>#N/A</v>
      </c>
      <c r="D31" s="113"/>
      <c r="E31" s="122" t="e">
        <f>VLOOKUP(Table257519913140106110151155170178204237[[#This Row],[PEG]],Table1016[#All],3,FALSE)</f>
        <v>#N/A</v>
      </c>
    </row>
    <row r="32" spans="1:5">
      <c r="A32" s="114">
        <v>25</v>
      </c>
      <c r="B32" s="110" t="s">
        <v>115</v>
      </c>
      <c r="C32" s="105" t="e">
        <f>VLOOKUP(Table257519913140106110151155170178204237[[#This Row],[PEG]],Table1016[#All],2,FALSE)</f>
        <v>#N/A</v>
      </c>
      <c r="D32" s="113"/>
      <c r="E32" s="122" t="e">
        <f>VLOOKUP(Table257519913140106110151155170178204237[[#This Row],[PEG]],Table1016[#All],3,FALSE)</f>
        <v>#N/A</v>
      </c>
    </row>
    <row r="33" spans="1:5">
      <c r="A33" s="114">
        <v>26</v>
      </c>
      <c r="B33" s="110" t="s">
        <v>124</v>
      </c>
      <c r="C33" s="105" t="e">
        <f>VLOOKUP(Table257519913140106110151155170178204237[[#This Row],[PEG]],Table1016[#All],2,FALSE)</f>
        <v>#N/A</v>
      </c>
      <c r="D33" s="113"/>
      <c r="E33" s="122" t="e">
        <f>VLOOKUP(Table257519913140106110151155170178204237[[#This Row],[PEG]],Table1016[#All],3,FALSE)</f>
        <v>#N/A</v>
      </c>
    </row>
    <row r="34" spans="1:5">
      <c r="A34" s="114">
        <v>27</v>
      </c>
      <c r="B34" s="110" t="s">
        <v>115</v>
      </c>
      <c r="C34" s="105" t="e">
        <f>VLOOKUP(Table257519913140106110151155170178204237[[#This Row],[PEG]],Table1016[#All],2,FALSE)</f>
        <v>#N/A</v>
      </c>
      <c r="D34" s="113"/>
      <c r="E34" s="122" t="e">
        <f>VLOOKUP(Table257519913140106110151155170178204237[[#This Row],[PEG]],Table1016[#All],3,FALSE)</f>
        <v>#N/A</v>
      </c>
    </row>
    <row r="35" spans="1:5">
      <c r="A35" s="114">
        <v>28</v>
      </c>
      <c r="B35" s="110" t="s">
        <v>124</v>
      </c>
      <c r="C35" s="105" t="e">
        <f>VLOOKUP(Table257519913140106110151155170178204237[[#This Row],[PEG]],Table1016[#All],2,FALSE)</f>
        <v>#N/A</v>
      </c>
      <c r="D35" s="113"/>
      <c r="E35" s="122" t="e">
        <f>VLOOKUP(Table257519913140106110151155170178204237[[#This Row],[PEG]],Table1016[#All],3,FALSE)</f>
        <v>#N/A</v>
      </c>
    </row>
    <row r="36" spans="1:5">
      <c r="A36" s="114">
        <v>29</v>
      </c>
      <c r="B36" s="110" t="s">
        <v>115</v>
      </c>
      <c r="C36" s="105" t="e">
        <f>VLOOKUP(Table257519913140106110151155170178204237[[#This Row],[PEG]],Table1016[#All],2,FALSE)</f>
        <v>#N/A</v>
      </c>
      <c r="D36" s="113"/>
      <c r="E36" s="122" t="e">
        <f>VLOOKUP(Table257519913140106110151155170178204237[[#This Row],[PEG]],Table1016[#All],3,FALSE)</f>
        <v>#N/A</v>
      </c>
    </row>
    <row r="37" spans="1:5">
      <c r="A37" s="114">
        <v>30</v>
      </c>
      <c r="B37" s="110" t="s">
        <v>12</v>
      </c>
      <c r="C37" s="105" t="e">
        <f>VLOOKUP(Table257519913140106110151155170178204237[[#This Row],[PEG]],Table1016[#All],2,FALSE)</f>
        <v>#N/A</v>
      </c>
      <c r="D37" s="113"/>
      <c r="E37" s="122" t="e">
        <f>VLOOKUP(Table257519913140106110151155170178204237[[#This Row],[PEG]],Table1016[#All],3,FALSE)</f>
        <v>#N/A</v>
      </c>
    </row>
    <row r="38" spans="1:5">
      <c r="A38" s="114">
        <v>31</v>
      </c>
      <c r="B38" s="110" t="s">
        <v>12</v>
      </c>
      <c r="C38" s="105" t="e">
        <f>VLOOKUP(Table257519913140106110151155170178204237[[#This Row],[PEG]],Table1016[#All],2,FALSE)</f>
        <v>#N/A</v>
      </c>
      <c r="D38" s="113"/>
      <c r="E38" s="122" t="e">
        <f>VLOOKUP(Table257519913140106110151155170178204237[[#This Row],[PEG]],Table1016[#All],3,FALSE)</f>
        <v>#N/A</v>
      </c>
    </row>
    <row r="39" spans="1:5">
      <c r="A39" s="114">
        <v>32</v>
      </c>
      <c r="B39" s="110" t="s">
        <v>12</v>
      </c>
      <c r="C39" s="105" t="e">
        <f>VLOOKUP(Table257519913140106110151155170178204237[[#This Row],[PEG]],Table1016[#All],2,FALSE)</f>
        <v>#N/A</v>
      </c>
      <c r="D39" s="113"/>
      <c r="E39" s="122" t="e">
        <f>VLOOKUP(Table257519913140106110151155170178204237[[#This Row],[PEG]],Table1016[#All],3,FALSE)</f>
        <v>#N/A</v>
      </c>
    </row>
    <row r="40" spans="1:5">
      <c r="A40" s="114">
        <v>33</v>
      </c>
      <c r="B40" s="110" t="s">
        <v>12</v>
      </c>
      <c r="C40" s="105" t="e">
        <f>VLOOKUP(Table257519913140106110151155170178204237[[#This Row],[PEG]],Table1016[#All],2,FALSE)</f>
        <v>#N/A</v>
      </c>
      <c r="D40" s="113"/>
      <c r="E40" s="122" t="e">
        <f>VLOOKUP(Table257519913140106110151155170178204237[[#This Row],[PEG]],Table1016[#All],3,FALSE)</f>
        <v>#N/A</v>
      </c>
    </row>
    <row r="41" spans="1:5">
      <c r="A41" s="114">
        <v>34</v>
      </c>
      <c r="B41" s="110" t="s">
        <v>115</v>
      </c>
      <c r="C41" s="105" t="e">
        <f>VLOOKUP(Table257519913140106110151155170178204237[[#This Row],[PEG]],Table1016[#All],2,FALSE)</f>
        <v>#N/A</v>
      </c>
      <c r="D41" s="113"/>
      <c r="E41" s="122" t="e">
        <f>VLOOKUP(Table257519913140106110151155170178204237[[#This Row],[PEG]],Table1016[#All],3,FALSE)</f>
        <v>#N/A</v>
      </c>
    </row>
    <row r="42" spans="1:5">
      <c r="A42" s="114">
        <v>35</v>
      </c>
      <c r="B42" s="110" t="s">
        <v>12</v>
      </c>
      <c r="C42" s="105" t="e">
        <f>VLOOKUP(Table257519913140106110151155170178204237[[#This Row],[PEG]],Table1016[#All],2,FALSE)</f>
        <v>#N/A</v>
      </c>
      <c r="D42" s="111"/>
      <c r="E42" s="122" t="e">
        <f>VLOOKUP(Table257519913140106110151155170178204237[[#This Row],[PEG]],Table1016[#All],3,FALSE)</f>
        <v>#N/A</v>
      </c>
    </row>
    <row r="43" spans="1:5">
      <c r="A43" s="114">
        <v>36</v>
      </c>
      <c r="B43" s="110" t="s">
        <v>115</v>
      </c>
      <c r="C43" s="105" t="e">
        <f>VLOOKUP(Table257519913140106110151155170178204237[[#This Row],[PEG]],Table1016[#All],2,FALSE)</f>
        <v>#N/A</v>
      </c>
      <c r="D43" s="111"/>
      <c r="E43" s="122" t="e">
        <f>VLOOKUP(Table257519913140106110151155170178204237[[#This Row],[PEG]],Table1016[#All],3,FALSE)</f>
        <v>#N/A</v>
      </c>
    </row>
    <row r="44" spans="1:5">
      <c r="A44" s="114">
        <v>37</v>
      </c>
      <c r="B44" s="110" t="s">
        <v>13</v>
      </c>
      <c r="C44" s="17" t="s">
        <v>13</v>
      </c>
      <c r="D44" s="111"/>
      <c r="E44" s="31"/>
    </row>
  </sheetData>
  <mergeCells count="1">
    <mergeCell ref="A1:B1"/>
  </mergeCells>
  <conditionalFormatting sqref="B8:B18">
    <cfRule type="containsText" dxfId="951" priority="1" operator="containsText" text="Hear">
      <formula>NOT(ISERROR(SEARCH("Hear",B8)))</formula>
    </cfRule>
  </conditionalFormatting>
  <conditionalFormatting sqref="B30">
    <cfRule type="containsText" dxfId="950" priority="4" operator="containsText" text="Hear">
      <formula>NOT(ISERROR(SEARCH("Hear",B30)))</formula>
    </cfRule>
  </conditionalFormatting>
  <conditionalFormatting sqref="B43:B44">
    <cfRule type="containsText" dxfId="949" priority="8" operator="containsText" text="Hear">
      <formula>NOT(ISERROR(SEARCH("Hear",B43)))</formula>
    </cfRule>
  </conditionalFormatting>
  <conditionalFormatting sqref="E44">
    <cfRule type="containsText" dxfId="948" priority="6" operator="containsText" text="WEB SERVICE">
      <formula>NOT(ISERROR(SEARCH("WEB SERVICE",E44)))</formula>
    </cfRule>
    <cfRule type="containsText" dxfId="947" priority="7" operator="containsText" text="DB">
      <formula>NOT(ISERROR(SEARCH("DB",E44)))</formula>
    </cfRule>
  </conditionalFormatting>
  <conditionalFormatting sqref="C44">
    <cfRule type="expression" dxfId="946" priority="9">
      <formula>$B44="Dial"</formula>
    </cfRule>
  </conditionalFormatting>
  <conditionalFormatting sqref="C44">
    <cfRule type="expression" dxfId="945" priority="3">
      <formula>$B44="Speak"</formula>
    </cfRule>
  </conditionalFormatting>
  <conditionalFormatting sqref="B19:B29 B31:B35 B42">
    <cfRule type="containsText" dxfId="944" priority="5" operator="containsText" text="Hear">
      <formula>NOT(ISERROR(SEARCH("Hear",B19)))</formula>
    </cfRule>
  </conditionalFormatting>
  <hyperlinks>
    <hyperlink ref="A1" location="'Test Case Overview'!A1" display="Return to Test Case Overview" xr:uid="{00000000-0004-0000-A4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5253F2A1-C1FA-4FF6-8E8A-B72CC01A48E6}">
            <xm:f>'TC1'!$B8="HANGUP"</xm:f>
            <x14:dxf>
              <font>
                <b/>
                <i val="0"/>
              </font>
            </x14:dxf>
          </x14:cfRule>
          <xm:sqref>C8</xm:sqref>
        </x14:conditionalFormatting>
        <x14:conditionalFormatting xmlns:xm="http://schemas.microsoft.com/office/excel/2006/main">
          <x14:cfRule type="expression" priority="3305" id="{5253F2A1-C1FA-4FF6-8E8A-B72CC01A48E6}">
            <xm:f>'TC1'!$B14="HANGUP"</xm:f>
            <x14:dxf>
              <font>
                <b/>
                <i val="0"/>
              </font>
            </x14:dxf>
          </x14:cfRule>
          <xm:sqref>C34:C43</xm:sqref>
        </x14:conditionalFormatting>
        <x14:conditionalFormatting xmlns:xm="http://schemas.microsoft.com/office/excel/2006/main">
          <x14:cfRule type="expression" priority="3306" id="{5253F2A1-C1FA-4FF6-8E8A-B72CC01A48E6}">
            <xm:f>'TC1'!#REF!="HANGUP"</xm:f>
            <x14:dxf>
              <font>
                <b/>
                <i val="0"/>
              </font>
            </x14:dxf>
          </x14:cfRule>
          <xm:sqref>C13:C33</xm:sqref>
        </x14:conditionalFormatting>
        <x14:conditionalFormatting xmlns:xm="http://schemas.microsoft.com/office/excel/2006/main">
          <x14:cfRule type="expression" priority="4579" id="{5253F2A1-C1FA-4FF6-8E8A-B72CC01A48E6}">
            <xm:f>'TC1'!$B10="HANGUP"</xm:f>
            <x14:dxf>
              <font>
                <b/>
                <i val="0"/>
              </font>
            </x14:dxf>
          </x14:cfRule>
          <xm:sqref>C9:C12</xm:sqref>
        </x14:conditionalFormatting>
      </x14:conditionalFormattings>
    </ext>
  </extLst>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sheetPr codeName="Sheet167"/>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TC165</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VLOOKUP(Table257519913140106110151155170178204239[[#This Row],[PEG]],Table1016[#All],2,FALSE)</f>
        <v>#N/A</v>
      </c>
      <c r="D9" s="125"/>
      <c r="E9" s="122" t="e">
        <f>VLOOKUP(Table257519913140106110151155170178204239[[#This Row],[PEG]],Table1016[#All],3,FALSE)</f>
        <v>#N/A</v>
      </c>
    </row>
    <row r="10" spans="1:5">
      <c r="A10" s="114">
        <v>3</v>
      </c>
      <c r="B10" s="110" t="s">
        <v>115</v>
      </c>
      <c r="C10" s="105" t="e">
        <f>VLOOKUP(Table257519913140106110151155170178204239[[#This Row],[PEG]],Table1016[#All],2,FALSE)</f>
        <v>#N/A</v>
      </c>
      <c r="D10" s="125"/>
      <c r="E10" s="122" t="e">
        <f>VLOOKUP(Table257519913140106110151155170178204239[[#This Row],[PEG]],Table1016[#All],3,FALSE)</f>
        <v>#N/A</v>
      </c>
    </row>
    <row r="11" spans="1:5">
      <c r="A11" s="114">
        <v>4</v>
      </c>
      <c r="B11" s="110" t="s">
        <v>115</v>
      </c>
      <c r="C11" s="105" t="e">
        <f>VLOOKUP(Table257519913140106110151155170178204239[[#This Row],[PEG]],Table1016[#All],2,FALSE)</f>
        <v>#N/A</v>
      </c>
      <c r="D11" s="125"/>
      <c r="E11" s="122" t="e">
        <f>VLOOKUP(Table257519913140106110151155170178204239[[#This Row],[PEG]],Table1016[#All],3,FALSE)</f>
        <v>#N/A</v>
      </c>
    </row>
    <row r="12" spans="1:5">
      <c r="A12" s="114">
        <v>5</v>
      </c>
      <c r="B12" s="110" t="s">
        <v>114</v>
      </c>
      <c r="C12" s="105" t="e">
        <f>VLOOKUP(Table257519913140106110151155170178204239[[#This Row],[PEG]],Table1016[#All],2,FALSE)</f>
        <v>#N/A</v>
      </c>
      <c r="D12" s="125"/>
      <c r="E12" s="122" t="e">
        <f>VLOOKUP(Table257519913140106110151155170178204239[[#This Row],[PEG]],Table1016[#All],3,FALSE)</f>
        <v>#N/A</v>
      </c>
    </row>
    <row r="13" spans="1:5">
      <c r="A13" s="114">
        <v>6</v>
      </c>
      <c r="B13" s="110" t="s">
        <v>115</v>
      </c>
      <c r="C13" s="105" t="e">
        <f>VLOOKUP(Table257519913140106110151155170178204239[[#This Row],[PEG]],Table1016[#All],2,FALSE)</f>
        <v>#N/A</v>
      </c>
      <c r="D13" s="125"/>
      <c r="E13" s="122" t="e">
        <f>VLOOKUP(Table257519913140106110151155170178204239[[#This Row],[PEG]],Table1016[#All],3,FALSE)</f>
        <v>#N/A</v>
      </c>
    </row>
    <row r="14" spans="1:5">
      <c r="A14" s="114">
        <v>7</v>
      </c>
      <c r="B14" s="110" t="s">
        <v>114</v>
      </c>
      <c r="C14" s="105" t="e">
        <f>VLOOKUP(Table257519913140106110151155170178204239[[#This Row],[PEG]],Table1016[#All],2,FALSE)</f>
        <v>#N/A</v>
      </c>
      <c r="D14" s="125"/>
      <c r="E14" s="122" t="e">
        <f>VLOOKUP(Table257519913140106110151155170178204239[[#This Row],[PEG]],Table1016[#All],3,FALSE)</f>
        <v>#N/A</v>
      </c>
    </row>
    <row r="15" spans="1:5">
      <c r="A15" s="114">
        <v>8</v>
      </c>
      <c r="B15" s="110" t="s">
        <v>115</v>
      </c>
      <c r="C15" s="105" t="e">
        <f>VLOOKUP(Table257519913140106110151155170178204239[[#This Row],[PEG]],Table1016[#All],2,FALSE)</f>
        <v>#N/A</v>
      </c>
      <c r="D15" s="112"/>
      <c r="E15" s="122" t="e">
        <f>VLOOKUP(Table257519913140106110151155170178204239[[#This Row],[PEG]],Table1016[#All],3,FALSE)</f>
        <v>#N/A</v>
      </c>
    </row>
    <row r="16" spans="1:5">
      <c r="A16" s="114">
        <v>9</v>
      </c>
      <c r="B16" s="110" t="s">
        <v>12</v>
      </c>
      <c r="C16" s="105" t="e">
        <f>VLOOKUP(Table257519913140106110151155170178204239[[#This Row],[PEG]],Table1016[#All],2,FALSE)</f>
        <v>#N/A</v>
      </c>
      <c r="D16" s="112"/>
      <c r="E16" s="122" t="e">
        <f>VLOOKUP(Table257519913140106110151155170178204239[[#This Row],[PEG]],Table1016[#All],3,FALSE)</f>
        <v>#N/A</v>
      </c>
    </row>
    <row r="17" spans="1:5">
      <c r="A17" s="114">
        <v>10</v>
      </c>
      <c r="B17" s="110" t="s">
        <v>12</v>
      </c>
      <c r="C17" s="105" t="e">
        <f>VLOOKUP(Table257519913140106110151155170178204239[[#This Row],[PEG]],Table1016[#All],2,FALSE)</f>
        <v>#N/A</v>
      </c>
      <c r="D17" s="113"/>
      <c r="E17" s="122" t="e">
        <f>VLOOKUP(Table257519913140106110151155170178204239[[#This Row],[PEG]],Table1016[#All],3,FALSE)</f>
        <v>#N/A</v>
      </c>
    </row>
    <row r="18" spans="1:5">
      <c r="A18" s="114">
        <v>11</v>
      </c>
      <c r="B18" s="110" t="s">
        <v>115</v>
      </c>
      <c r="C18" s="105" t="e">
        <f>VLOOKUP(Table257519913140106110151155170178204239[[#This Row],[PEG]],Table1016[#All],2,FALSE)</f>
        <v>#N/A</v>
      </c>
      <c r="D18" s="113"/>
      <c r="E18" s="122" t="e">
        <f>VLOOKUP(Table257519913140106110151155170178204239[[#This Row],[PEG]],Table1016[#All],3,FALSE)</f>
        <v>#N/A</v>
      </c>
    </row>
    <row r="19" spans="1:5">
      <c r="A19" s="114">
        <v>12</v>
      </c>
      <c r="B19" s="110" t="s">
        <v>115</v>
      </c>
      <c r="C19" s="105" t="e">
        <f>VLOOKUP(Table257519913140106110151155170178204239[[#This Row],[PEG]],Table1016[#All],2,FALSE)</f>
        <v>#N/A</v>
      </c>
      <c r="D19" s="113"/>
      <c r="E19" s="122" t="e">
        <f>VLOOKUP(Table257519913140106110151155170178204239[[#This Row],[PEG]],Table1016[#All],3,FALSE)</f>
        <v>#N/A</v>
      </c>
    </row>
    <row r="20" spans="1:5">
      <c r="A20" s="114">
        <v>13</v>
      </c>
      <c r="B20" s="110" t="s">
        <v>114</v>
      </c>
      <c r="C20" s="105" t="e">
        <f>VLOOKUP(Table257519913140106110151155170178204239[[#This Row],[PEG]],Table1016[#All],2,FALSE)</f>
        <v>#N/A</v>
      </c>
      <c r="D20" s="113"/>
      <c r="E20" s="122" t="e">
        <f>VLOOKUP(Table257519913140106110151155170178204239[[#This Row],[PEG]],Table1016[#All],3,FALSE)</f>
        <v>#N/A</v>
      </c>
    </row>
    <row r="21" spans="1:5">
      <c r="A21" s="114">
        <v>14</v>
      </c>
      <c r="B21" s="110" t="s">
        <v>12</v>
      </c>
      <c r="C21" s="105" t="e">
        <f>VLOOKUP(Table257519913140106110151155170178204239[[#This Row],[PEG]],Table1016[#All],2,FALSE)</f>
        <v>#N/A</v>
      </c>
      <c r="D21" s="113"/>
      <c r="E21" s="122" t="e">
        <f>VLOOKUP(Table257519913140106110151155170178204239[[#This Row],[PEG]],Table1016[#All],3,FALSE)</f>
        <v>#N/A</v>
      </c>
    </row>
    <row r="22" spans="1:5">
      <c r="A22" s="114">
        <v>15</v>
      </c>
      <c r="B22" s="110" t="s">
        <v>12</v>
      </c>
      <c r="C22" s="105" t="e">
        <f>VLOOKUP(Table257519913140106110151155170178204239[[#This Row],[PEG]],Table1016[#All],2,FALSE)</f>
        <v>#N/A</v>
      </c>
      <c r="D22" s="113"/>
      <c r="E22" s="122" t="e">
        <f>VLOOKUP(Table257519913140106110151155170178204239[[#This Row],[PEG]],Table1016[#All],3,FALSE)</f>
        <v>#N/A</v>
      </c>
    </row>
    <row r="23" spans="1:5">
      <c r="A23" s="114">
        <v>16</v>
      </c>
      <c r="B23" s="110" t="s">
        <v>115</v>
      </c>
      <c r="C23" s="105" t="e">
        <f>VLOOKUP(Table257519913140106110151155170178204239[[#This Row],[PEG]],Table1016[#All],2,FALSE)</f>
        <v>#N/A</v>
      </c>
      <c r="D23" s="113"/>
      <c r="E23" s="122" t="e">
        <f>VLOOKUP(Table257519913140106110151155170178204239[[#This Row],[PEG]],Table1016[#All],3,FALSE)</f>
        <v>#N/A</v>
      </c>
    </row>
    <row r="24" spans="1:5">
      <c r="A24" s="114">
        <v>17</v>
      </c>
      <c r="B24" s="110" t="s">
        <v>114</v>
      </c>
      <c r="C24" s="105" t="e">
        <f>VLOOKUP(Table257519913140106110151155170178204239[[#This Row],[PEG]],Table1016[#All],2,FALSE)</f>
        <v>#N/A</v>
      </c>
      <c r="D24" s="113"/>
      <c r="E24" s="122" t="e">
        <f>VLOOKUP(Table257519913140106110151155170178204239[[#This Row],[PEG]],Table1016[#All],3,FALSE)</f>
        <v>#N/A</v>
      </c>
    </row>
    <row r="25" spans="1:5">
      <c r="A25" s="114">
        <v>18</v>
      </c>
      <c r="B25" s="110" t="s">
        <v>12</v>
      </c>
      <c r="C25" s="105" t="e">
        <f>VLOOKUP(Table257519913140106110151155170178204239[[#This Row],[PEG]],Table1016[#All],2,FALSE)</f>
        <v>#N/A</v>
      </c>
      <c r="D25" s="113"/>
      <c r="E25" s="122" t="e">
        <f>VLOOKUP(Table257519913140106110151155170178204239[[#This Row],[PEG]],Table1016[#All],3,FALSE)</f>
        <v>#N/A</v>
      </c>
    </row>
    <row r="26" spans="1:5">
      <c r="A26" s="114">
        <v>19</v>
      </c>
      <c r="B26" s="110" t="s">
        <v>12</v>
      </c>
      <c r="C26" s="105" t="e">
        <f>VLOOKUP(Table257519913140106110151155170178204239[[#This Row],[PEG]],Table1016[#All],2,FALSE)</f>
        <v>#N/A</v>
      </c>
      <c r="D26" s="113"/>
      <c r="E26" s="122" t="e">
        <f>VLOOKUP(Table257519913140106110151155170178204239[[#This Row],[PEG]],Table1016[#All],3,FALSE)</f>
        <v>#N/A</v>
      </c>
    </row>
    <row r="27" spans="1:5">
      <c r="A27" s="114">
        <v>20</v>
      </c>
      <c r="B27" s="110" t="s">
        <v>115</v>
      </c>
      <c r="C27" s="105" t="e">
        <f>VLOOKUP(Table257519913140106110151155170178204239[[#This Row],[PEG]],Table1016[#All],2,FALSE)</f>
        <v>#N/A</v>
      </c>
      <c r="D27" s="113"/>
      <c r="E27" s="122" t="e">
        <f>VLOOKUP(Table257519913140106110151155170178204239[[#This Row],[PEG]],Table1016[#All],3,FALSE)</f>
        <v>#N/A</v>
      </c>
    </row>
    <row r="28" spans="1:5">
      <c r="A28" s="114">
        <v>21</v>
      </c>
      <c r="B28" s="110" t="s">
        <v>114</v>
      </c>
      <c r="C28" s="105" t="e">
        <f>VLOOKUP(Table257519913140106110151155170178204239[[#This Row],[PEG]],Table1016[#All],2,FALSE)</f>
        <v>#N/A</v>
      </c>
      <c r="D28" s="113"/>
      <c r="E28" s="122" t="e">
        <f>VLOOKUP(Table257519913140106110151155170178204239[[#This Row],[PEG]],Table1016[#All],3,FALSE)</f>
        <v>#N/A</v>
      </c>
    </row>
    <row r="29" spans="1:5">
      <c r="A29" s="114">
        <v>22</v>
      </c>
      <c r="B29" s="110" t="s">
        <v>12</v>
      </c>
      <c r="C29" s="105" t="e">
        <f>VLOOKUP(Table257519913140106110151155170178204239[[#This Row],[PEG]],Table1016[#All],2,FALSE)</f>
        <v>#N/A</v>
      </c>
      <c r="D29" s="113"/>
      <c r="E29" s="122" t="e">
        <f>VLOOKUP(Table257519913140106110151155170178204239[[#This Row],[PEG]],Table1016[#All],3,FALSE)</f>
        <v>#N/A</v>
      </c>
    </row>
    <row r="30" spans="1:5">
      <c r="A30" s="114">
        <v>23</v>
      </c>
      <c r="B30" s="110" t="s">
        <v>12</v>
      </c>
      <c r="C30" s="105" t="e">
        <f>VLOOKUP(Table257519913140106110151155170178204239[[#This Row],[PEG]],Table1016[#All],2,FALSE)</f>
        <v>#N/A</v>
      </c>
      <c r="D30" s="113"/>
      <c r="E30" s="122" t="e">
        <f>VLOOKUP(Table257519913140106110151155170178204239[[#This Row],[PEG]],Table1016[#All],3,FALSE)</f>
        <v>#N/A</v>
      </c>
    </row>
    <row r="31" spans="1:5">
      <c r="A31" s="114">
        <v>24</v>
      </c>
      <c r="B31" s="110" t="s">
        <v>115</v>
      </c>
      <c r="C31" s="105" t="e">
        <f>VLOOKUP(Table257519913140106110151155170178204239[[#This Row],[PEG]],Table1016[#All],2,FALSE)</f>
        <v>#N/A</v>
      </c>
      <c r="D31" s="113"/>
      <c r="E31" s="122" t="e">
        <f>VLOOKUP(Table257519913140106110151155170178204239[[#This Row],[PEG]],Table1016[#All],3,FALSE)</f>
        <v>#N/A</v>
      </c>
    </row>
    <row r="32" spans="1:5">
      <c r="A32" s="114">
        <v>25</v>
      </c>
      <c r="B32" s="110" t="s">
        <v>115</v>
      </c>
      <c r="C32" s="105" t="e">
        <f>VLOOKUP(Table257519913140106110151155170178204239[[#This Row],[PEG]],Table1016[#All],2,FALSE)</f>
        <v>#N/A</v>
      </c>
      <c r="D32" s="113"/>
      <c r="E32" s="122" t="e">
        <f>VLOOKUP(Table257519913140106110151155170178204239[[#This Row],[PEG]],Table1016[#All],3,FALSE)</f>
        <v>#N/A</v>
      </c>
    </row>
    <row r="33" spans="1:5">
      <c r="A33" s="114">
        <v>26</v>
      </c>
      <c r="B33" s="110" t="s">
        <v>124</v>
      </c>
      <c r="C33" s="105" t="e">
        <f>VLOOKUP(Table257519913140106110151155170178204239[[#This Row],[PEG]],Table1016[#All],2,FALSE)</f>
        <v>#N/A</v>
      </c>
      <c r="D33" s="113"/>
      <c r="E33" s="122" t="e">
        <f>VLOOKUP(Table257519913140106110151155170178204239[[#This Row],[PEG]],Table1016[#All],3,FALSE)</f>
        <v>#N/A</v>
      </c>
    </row>
    <row r="34" spans="1:5">
      <c r="A34" s="114">
        <v>27</v>
      </c>
      <c r="B34" s="110" t="s">
        <v>115</v>
      </c>
      <c r="C34" s="105" t="e">
        <f>VLOOKUP(Table257519913140106110151155170178204239[[#This Row],[PEG]],Table1016[#All],2,FALSE)</f>
        <v>#N/A</v>
      </c>
      <c r="D34" s="113"/>
      <c r="E34" s="122" t="e">
        <f>VLOOKUP(Table257519913140106110151155170178204239[[#This Row],[PEG]],Table1016[#All],3,FALSE)</f>
        <v>#N/A</v>
      </c>
    </row>
    <row r="35" spans="1:5">
      <c r="A35" s="114">
        <v>28</v>
      </c>
      <c r="B35" s="110" t="s">
        <v>124</v>
      </c>
      <c r="C35" s="105" t="e">
        <f>VLOOKUP(Table257519913140106110151155170178204239[[#This Row],[PEG]],Table1016[#All],2,FALSE)</f>
        <v>#N/A</v>
      </c>
      <c r="D35" s="113"/>
      <c r="E35" s="122" t="e">
        <f>VLOOKUP(Table257519913140106110151155170178204239[[#This Row],[PEG]],Table1016[#All],3,FALSE)</f>
        <v>#N/A</v>
      </c>
    </row>
    <row r="36" spans="1:5">
      <c r="A36" s="114">
        <v>29</v>
      </c>
      <c r="B36" s="110" t="s">
        <v>115</v>
      </c>
      <c r="C36" s="105" t="e">
        <f>VLOOKUP(Table257519913140106110151155170178204239[[#This Row],[PEG]],Table1016[#All],2,FALSE)</f>
        <v>#N/A</v>
      </c>
      <c r="D36" s="113"/>
      <c r="E36" s="122" t="e">
        <f>VLOOKUP(Table257519913140106110151155170178204239[[#This Row],[PEG]],Table1016[#All],3,FALSE)</f>
        <v>#N/A</v>
      </c>
    </row>
    <row r="37" spans="1:5">
      <c r="A37" s="114">
        <v>30</v>
      </c>
      <c r="B37" s="110" t="s">
        <v>12</v>
      </c>
      <c r="C37" s="105" t="e">
        <f>VLOOKUP(Table257519913140106110151155170178204239[[#This Row],[PEG]],Table1016[#All],2,FALSE)</f>
        <v>#N/A</v>
      </c>
      <c r="D37" s="113"/>
      <c r="E37" s="122" t="e">
        <f>VLOOKUP(Table257519913140106110151155170178204239[[#This Row],[PEG]],Table1016[#All],3,FALSE)</f>
        <v>#N/A</v>
      </c>
    </row>
    <row r="38" spans="1:5">
      <c r="A38" s="114">
        <v>31</v>
      </c>
      <c r="B38" s="110" t="s">
        <v>12</v>
      </c>
      <c r="C38" s="105" t="e">
        <f>VLOOKUP(Table257519913140106110151155170178204239[[#This Row],[PEG]],Table1016[#All],2,FALSE)</f>
        <v>#N/A</v>
      </c>
      <c r="D38" s="113"/>
      <c r="E38" s="122" t="e">
        <f>VLOOKUP(Table257519913140106110151155170178204239[[#This Row],[PEG]],Table1016[#All],3,FALSE)</f>
        <v>#N/A</v>
      </c>
    </row>
    <row r="39" spans="1:5">
      <c r="A39" s="114">
        <v>32</v>
      </c>
      <c r="B39" s="110" t="s">
        <v>12</v>
      </c>
      <c r="C39" s="105" t="e">
        <f>VLOOKUP(Table257519913140106110151155170178204239[[#This Row],[PEG]],Table1016[#All],2,FALSE)</f>
        <v>#N/A</v>
      </c>
      <c r="D39" s="113"/>
      <c r="E39" s="122" t="e">
        <f>VLOOKUP(Table257519913140106110151155170178204239[[#This Row],[PEG]],Table1016[#All],3,FALSE)</f>
        <v>#N/A</v>
      </c>
    </row>
    <row r="40" spans="1:5">
      <c r="A40" s="114">
        <v>33</v>
      </c>
      <c r="B40" s="110" t="s">
        <v>12</v>
      </c>
      <c r="C40" s="105" t="e">
        <f>VLOOKUP(Table257519913140106110151155170178204239[[#This Row],[PEG]],Table1016[#All],2,FALSE)</f>
        <v>#N/A</v>
      </c>
      <c r="D40" s="113"/>
      <c r="E40" s="122" t="e">
        <f>VLOOKUP(Table257519913140106110151155170178204239[[#This Row],[PEG]],Table1016[#All],3,FALSE)</f>
        <v>#N/A</v>
      </c>
    </row>
    <row r="41" spans="1:5">
      <c r="A41" s="114">
        <v>34</v>
      </c>
      <c r="B41" s="110" t="s">
        <v>115</v>
      </c>
      <c r="C41" s="105" t="e">
        <f>VLOOKUP(Table257519913140106110151155170178204239[[#This Row],[PEG]],Table1016[#All],2,FALSE)</f>
        <v>#N/A</v>
      </c>
      <c r="D41" s="113"/>
      <c r="E41" s="122" t="e">
        <f>VLOOKUP(Table257519913140106110151155170178204239[[#This Row],[PEG]],Table1016[#All],3,FALSE)</f>
        <v>#N/A</v>
      </c>
    </row>
    <row r="42" spans="1:5">
      <c r="A42" s="114">
        <v>35</v>
      </c>
      <c r="B42" s="110" t="s">
        <v>12</v>
      </c>
      <c r="C42" s="105" t="e">
        <f>VLOOKUP(Table257519913140106110151155170178204239[[#This Row],[PEG]],Table1016[#All],2,FALSE)</f>
        <v>#N/A</v>
      </c>
      <c r="D42" s="111"/>
      <c r="E42" s="122" t="e">
        <f>VLOOKUP(Table257519913140106110151155170178204239[[#This Row],[PEG]],Table1016[#All],3,FALSE)</f>
        <v>#N/A</v>
      </c>
    </row>
    <row r="43" spans="1:5">
      <c r="A43" s="114">
        <v>36</v>
      </c>
      <c r="B43" s="110" t="s">
        <v>115</v>
      </c>
      <c r="C43" s="105" t="e">
        <f>VLOOKUP(Table257519913140106110151155170178204239[[#This Row],[PEG]],Table1016[#All],2,FALSE)</f>
        <v>#N/A</v>
      </c>
      <c r="D43" s="111"/>
      <c r="E43" s="122" t="e">
        <f>VLOOKUP(Table257519913140106110151155170178204239[[#This Row],[PEG]],Table1016[#All],3,FALSE)</f>
        <v>#N/A</v>
      </c>
    </row>
    <row r="44" spans="1:5">
      <c r="A44" s="114">
        <v>37</v>
      </c>
      <c r="B44" s="110" t="s">
        <v>13</v>
      </c>
      <c r="C44" s="17" t="s">
        <v>13</v>
      </c>
      <c r="D44" s="111"/>
      <c r="E44" s="31"/>
    </row>
  </sheetData>
  <mergeCells count="1">
    <mergeCell ref="A1:B1"/>
  </mergeCells>
  <conditionalFormatting sqref="B8:B18">
    <cfRule type="containsText" dxfId="930" priority="1" operator="containsText" text="Hear">
      <formula>NOT(ISERROR(SEARCH("Hear",B8)))</formula>
    </cfRule>
  </conditionalFormatting>
  <conditionalFormatting sqref="B30">
    <cfRule type="containsText" dxfId="929" priority="4" operator="containsText" text="Hear">
      <formula>NOT(ISERROR(SEARCH("Hear",B30)))</formula>
    </cfRule>
  </conditionalFormatting>
  <conditionalFormatting sqref="B43:B44">
    <cfRule type="containsText" dxfId="928" priority="8" operator="containsText" text="Hear">
      <formula>NOT(ISERROR(SEARCH("Hear",B43)))</formula>
    </cfRule>
  </conditionalFormatting>
  <conditionalFormatting sqref="E44">
    <cfRule type="containsText" dxfId="927" priority="6" operator="containsText" text="WEB SERVICE">
      <formula>NOT(ISERROR(SEARCH("WEB SERVICE",E44)))</formula>
    </cfRule>
    <cfRule type="containsText" dxfId="926" priority="7" operator="containsText" text="DB">
      <formula>NOT(ISERROR(SEARCH("DB",E44)))</formula>
    </cfRule>
  </conditionalFormatting>
  <conditionalFormatting sqref="C44">
    <cfRule type="expression" dxfId="925" priority="9">
      <formula>$B44="Dial"</formula>
    </cfRule>
  </conditionalFormatting>
  <conditionalFormatting sqref="C44">
    <cfRule type="expression" dxfId="924" priority="3">
      <formula>$B44="Speak"</formula>
    </cfRule>
  </conditionalFormatting>
  <conditionalFormatting sqref="B19:B29 B31:B35 B42">
    <cfRule type="containsText" dxfId="923" priority="5" operator="containsText" text="Hear">
      <formula>NOT(ISERROR(SEARCH("Hear",B19)))</formula>
    </cfRule>
  </conditionalFormatting>
  <hyperlinks>
    <hyperlink ref="A1" location="'Test Case Overview'!A1" display="Return to Test Case Overview" xr:uid="{00000000-0004-0000-A5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22BF3EAB-503B-494F-BB9F-124C8E6B95F4}">
            <xm:f>'TC1'!$B8="HANGUP"</xm:f>
            <x14:dxf>
              <font>
                <b/>
                <i val="0"/>
              </font>
            </x14:dxf>
          </x14:cfRule>
          <xm:sqref>C8</xm:sqref>
        </x14:conditionalFormatting>
        <x14:conditionalFormatting xmlns:xm="http://schemas.microsoft.com/office/excel/2006/main">
          <x14:cfRule type="expression" priority="3309" id="{22BF3EAB-503B-494F-BB9F-124C8E6B95F4}">
            <xm:f>'TC1'!$B14="HANGUP"</xm:f>
            <x14:dxf>
              <font>
                <b/>
                <i val="0"/>
              </font>
            </x14:dxf>
          </x14:cfRule>
          <xm:sqref>C34:C43</xm:sqref>
        </x14:conditionalFormatting>
        <x14:conditionalFormatting xmlns:xm="http://schemas.microsoft.com/office/excel/2006/main">
          <x14:cfRule type="expression" priority="3310" id="{22BF3EAB-503B-494F-BB9F-124C8E6B95F4}">
            <xm:f>'TC1'!#REF!="HANGUP"</xm:f>
            <x14:dxf>
              <font>
                <b/>
                <i val="0"/>
              </font>
            </x14:dxf>
          </x14:cfRule>
          <xm:sqref>C13:C33</xm:sqref>
        </x14:conditionalFormatting>
        <x14:conditionalFormatting xmlns:xm="http://schemas.microsoft.com/office/excel/2006/main">
          <x14:cfRule type="expression" priority="4581" id="{22BF3EAB-503B-494F-BB9F-124C8E6B95F4}">
            <xm:f>'TC1'!$B10="HANGUP"</xm:f>
            <x14:dxf>
              <font>
                <b/>
                <i val="0"/>
              </font>
            </x14:dxf>
          </x14:cfRule>
          <xm:sqref>C9:C12</xm:sqref>
        </x14:conditionalFormatting>
      </x14:conditionalFormattings>
    </ext>
  </extLst>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sheetPr codeName="Sheet168"/>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TC166</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VLOOKUP(Table257519913140106110151155170178204241[[#This Row],[PEG]],Table1016[#All],2,FALSE)</f>
        <v>#N/A</v>
      </c>
      <c r="D9" s="125"/>
      <c r="E9" s="122" t="e">
        <f>VLOOKUP(Table257519913140106110151155170178204241[[#This Row],[PEG]],Table1016[#All],3,FALSE)</f>
        <v>#N/A</v>
      </c>
    </row>
    <row r="10" spans="1:5">
      <c r="A10" s="114">
        <v>3</v>
      </c>
      <c r="B10" s="110" t="s">
        <v>115</v>
      </c>
      <c r="C10" s="105" t="e">
        <f>VLOOKUP(Table257519913140106110151155170178204241[[#This Row],[PEG]],Table1016[#All],2,FALSE)</f>
        <v>#N/A</v>
      </c>
      <c r="D10" s="125"/>
      <c r="E10" s="122" t="e">
        <f>VLOOKUP(Table257519913140106110151155170178204241[[#This Row],[PEG]],Table1016[#All],3,FALSE)</f>
        <v>#N/A</v>
      </c>
    </row>
    <row r="11" spans="1:5">
      <c r="A11" s="114">
        <v>4</v>
      </c>
      <c r="B11" s="110" t="s">
        <v>115</v>
      </c>
      <c r="C11" s="105" t="e">
        <f>VLOOKUP(Table257519913140106110151155170178204241[[#This Row],[PEG]],Table1016[#All],2,FALSE)</f>
        <v>#N/A</v>
      </c>
      <c r="D11" s="125"/>
      <c r="E11" s="122" t="e">
        <f>VLOOKUP(Table257519913140106110151155170178204241[[#This Row],[PEG]],Table1016[#All],3,FALSE)</f>
        <v>#N/A</v>
      </c>
    </row>
    <row r="12" spans="1:5">
      <c r="A12" s="114">
        <v>5</v>
      </c>
      <c r="B12" s="110" t="s">
        <v>114</v>
      </c>
      <c r="C12" s="105" t="e">
        <f>VLOOKUP(Table257519913140106110151155170178204241[[#This Row],[PEG]],Table1016[#All],2,FALSE)</f>
        <v>#N/A</v>
      </c>
      <c r="D12" s="125"/>
      <c r="E12" s="122" t="e">
        <f>VLOOKUP(Table257519913140106110151155170178204241[[#This Row],[PEG]],Table1016[#All],3,FALSE)</f>
        <v>#N/A</v>
      </c>
    </row>
    <row r="13" spans="1:5">
      <c r="A13" s="114">
        <v>6</v>
      </c>
      <c r="B13" s="110" t="s">
        <v>115</v>
      </c>
      <c r="C13" s="105" t="e">
        <f>VLOOKUP(Table257519913140106110151155170178204241[[#This Row],[PEG]],Table1016[#All],2,FALSE)</f>
        <v>#N/A</v>
      </c>
      <c r="D13" s="125"/>
      <c r="E13" s="122" t="e">
        <f>VLOOKUP(Table257519913140106110151155170178204241[[#This Row],[PEG]],Table1016[#All],3,FALSE)</f>
        <v>#N/A</v>
      </c>
    </row>
    <row r="14" spans="1:5">
      <c r="A14" s="114">
        <v>7</v>
      </c>
      <c r="B14" s="110" t="s">
        <v>114</v>
      </c>
      <c r="C14" s="105" t="e">
        <f>VLOOKUP(Table257519913140106110151155170178204241[[#This Row],[PEG]],Table1016[#All],2,FALSE)</f>
        <v>#N/A</v>
      </c>
      <c r="D14" s="125"/>
      <c r="E14" s="122" t="e">
        <f>VLOOKUP(Table257519913140106110151155170178204241[[#This Row],[PEG]],Table1016[#All],3,FALSE)</f>
        <v>#N/A</v>
      </c>
    </row>
    <row r="15" spans="1:5">
      <c r="A15" s="114">
        <v>8</v>
      </c>
      <c r="B15" s="110" t="s">
        <v>115</v>
      </c>
      <c r="C15" s="105" t="e">
        <f>VLOOKUP(Table257519913140106110151155170178204241[[#This Row],[PEG]],Table1016[#All],2,FALSE)</f>
        <v>#N/A</v>
      </c>
      <c r="D15" s="112"/>
      <c r="E15" s="122" t="e">
        <f>VLOOKUP(Table257519913140106110151155170178204241[[#This Row],[PEG]],Table1016[#All],3,FALSE)</f>
        <v>#N/A</v>
      </c>
    </row>
    <row r="16" spans="1:5">
      <c r="A16" s="114">
        <v>9</v>
      </c>
      <c r="B16" s="110" t="s">
        <v>12</v>
      </c>
      <c r="C16" s="105" t="e">
        <f>VLOOKUP(Table257519913140106110151155170178204241[[#This Row],[PEG]],Table1016[#All],2,FALSE)</f>
        <v>#N/A</v>
      </c>
      <c r="D16" s="112"/>
      <c r="E16" s="122" t="e">
        <f>VLOOKUP(Table257519913140106110151155170178204241[[#This Row],[PEG]],Table1016[#All],3,FALSE)</f>
        <v>#N/A</v>
      </c>
    </row>
    <row r="17" spans="1:5">
      <c r="A17" s="114">
        <v>10</v>
      </c>
      <c r="B17" s="110" t="s">
        <v>12</v>
      </c>
      <c r="C17" s="105" t="e">
        <f>VLOOKUP(Table257519913140106110151155170178204241[[#This Row],[PEG]],Table1016[#All],2,FALSE)</f>
        <v>#N/A</v>
      </c>
      <c r="D17" s="113"/>
      <c r="E17" s="122" t="e">
        <f>VLOOKUP(Table257519913140106110151155170178204241[[#This Row],[PEG]],Table1016[#All],3,FALSE)</f>
        <v>#N/A</v>
      </c>
    </row>
    <row r="18" spans="1:5">
      <c r="A18" s="114">
        <v>11</v>
      </c>
      <c r="B18" s="110" t="s">
        <v>115</v>
      </c>
      <c r="C18" s="105" t="e">
        <f>VLOOKUP(Table257519913140106110151155170178204241[[#This Row],[PEG]],Table1016[#All],2,FALSE)</f>
        <v>#N/A</v>
      </c>
      <c r="D18" s="113"/>
      <c r="E18" s="122" t="e">
        <f>VLOOKUP(Table257519913140106110151155170178204241[[#This Row],[PEG]],Table1016[#All],3,FALSE)</f>
        <v>#N/A</v>
      </c>
    </row>
    <row r="19" spans="1:5">
      <c r="A19" s="114">
        <v>12</v>
      </c>
      <c r="B19" s="110" t="s">
        <v>115</v>
      </c>
      <c r="C19" s="105" t="e">
        <f>VLOOKUP(Table257519913140106110151155170178204241[[#This Row],[PEG]],Table1016[#All],2,FALSE)</f>
        <v>#N/A</v>
      </c>
      <c r="D19" s="113"/>
      <c r="E19" s="122" t="e">
        <f>VLOOKUP(Table257519913140106110151155170178204241[[#This Row],[PEG]],Table1016[#All],3,FALSE)</f>
        <v>#N/A</v>
      </c>
    </row>
    <row r="20" spans="1:5">
      <c r="A20" s="114">
        <v>13</v>
      </c>
      <c r="B20" s="110" t="s">
        <v>114</v>
      </c>
      <c r="C20" s="105" t="e">
        <f>VLOOKUP(Table257519913140106110151155170178204241[[#This Row],[PEG]],Table1016[#All],2,FALSE)</f>
        <v>#N/A</v>
      </c>
      <c r="D20" s="113"/>
      <c r="E20" s="122" t="e">
        <f>VLOOKUP(Table257519913140106110151155170178204241[[#This Row],[PEG]],Table1016[#All],3,FALSE)</f>
        <v>#N/A</v>
      </c>
    </row>
    <row r="21" spans="1:5">
      <c r="A21" s="114">
        <v>14</v>
      </c>
      <c r="B21" s="110" t="s">
        <v>12</v>
      </c>
      <c r="C21" s="105" t="e">
        <f>VLOOKUP(Table257519913140106110151155170178204241[[#This Row],[PEG]],Table1016[#All],2,FALSE)</f>
        <v>#N/A</v>
      </c>
      <c r="D21" s="113"/>
      <c r="E21" s="122" t="e">
        <f>VLOOKUP(Table257519913140106110151155170178204241[[#This Row],[PEG]],Table1016[#All],3,FALSE)</f>
        <v>#N/A</v>
      </c>
    </row>
    <row r="22" spans="1:5">
      <c r="A22" s="114">
        <v>15</v>
      </c>
      <c r="B22" s="110" t="s">
        <v>12</v>
      </c>
      <c r="C22" s="105" t="e">
        <f>VLOOKUP(Table257519913140106110151155170178204241[[#This Row],[PEG]],Table1016[#All],2,FALSE)</f>
        <v>#N/A</v>
      </c>
      <c r="D22" s="113"/>
      <c r="E22" s="122" t="e">
        <f>VLOOKUP(Table257519913140106110151155170178204241[[#This Row],[PEG]],Table1016[#All],3,FALSE)</f>
        <v>#N/A</v>
      </c>
    </row>
    <row r="23" spans="1:5">
      <c r="A23" s="114">
        <v>16</v>
      </c>
      <c r="B23" s="110" t="s">
        <v>115</v>
      </c>
      <c r="C23" s="105" t="e">
        <f>VLOOKUP(Table257519913140106110151155170178204241[[#This Row],[PEG]],Table1016[#All],2,FALSE)</f>
        <v>#N/A</v>
      </c>
      <c r="D23" s="113"/>
      <c r="E23" s="122" t="e">
        <f>VLOOKUP(Table257519913140106110151155170178204241[[#This Row],[PEG]],Table1016[#All],3,FALSE)</f>
        <v>#N/A</v>
      </c>
    </row>
    <row r="24" spans="1:5">
      <c r="A24" s="114">
        <v>17</v>
      </c>
      <c r="B24" s="110" t="s">
        <v>114</v>
      </c>
      <c r="C24" s="105" t="e">
        <f>VLOOKUP(Table257519913140106110151155170178204241[[#This Row],[PEG]],Table1016[#All],2,FALSE)</f>
        <v>#N/A</v>
      </c>
      <c r="D24" s="113"/>
      <c r="E24" s="122" t="e">
        <f>VLOOKUP(Table257519913140106110151155170178204241[[#This Row],[PEG]],Table1016[#All],3,FALSE)</f>
        <v>#N/A</v>
      </c>
    </row>
    <row r="25" spans="1:5">
      <c r="A25" s="114">
        <v>18</v>
      </c>
      <c r="B25" s="110" t="s">
        <v>12</v>
      </c>
      <c r="C25" s="105" t="e">
        <f>VLOOKUP(Table257519913140106110151155170178204241[[#This Row],[PEG]],Table1016[#All],2,FALSE)</f>
        <v>#N/A</v>
      </c>
      <c r="D25" s="113"/>
      <c r="E25" s="122" t="e">
        <f>VLOOKUP(Table257519913140106110151155170178204241[[#This Row],[PEG]],Table1016[#All],3,FALSE)</f>
        <v>#N/A</v>
      </c>
    </row>
    <row r="26" spans="1:5">
      <c r="A26" s="114">
        <v>19</v>
      </c>
      <c r="B26" s="110" t="s">
        <v>12</v>
      </c>
      <c r="C26" s="105" t="e">
        <f>VLOOKUP(Table257519913140106110151155170178204241[[#This Row],[PEG]],Table1016[#All],2,FALSE)</f>
        <v>#N/A</v>
      </c>
      <c r="D26" s="113"/>
      <c r="E26" s="122" t="e">
        <f>VLOOKUP(Table257519913140106110151155170178204241[[#This Row],[PEG]],Table1016[#All],3,FALSE)</f>
        <v>#N/A</v>
      </c>
    </row>
    <row r="27" spans="1:5">
      <c r="A27" s="114">
        <v>20</v>
      </c>
      <c r="B27" s="110" t="s">
        <v>115</v>
      </c>
      <c r="C27" s="105" t="e">
        <f>VLOOKUP(Table257519913140106110151155170178204241[[#This Row],[PEG]],Table1016[#All],2,FALSE)</f>
        <v>#N/A</v>
      </c>
      <c r="D27" s="113"/>
      <c r="E27" s="122" t="e">
        <f>VLOOKUP(Table257519913140106110151155170178204241[[#This Row],[PEG]],Table1016[#All],3,FALSE)</f>
        <v>#N/A</v>
      </c>
    </row>
    <row r="28" spans="1:5">
      <c r="A28" s="114">
        <v>21</v>
      </c>
      <c r="B28" s="110" t="s">
        <v>114</v>
      </c>
      <c r="C28" s="105" t="e">
        <f>VLOOKUP(Table257519913140106110151155170178204241[[#This Row],[PEG]],Table1016[#All],2,FALSE)</f>
        <v>#N/A</v>
      </c>
      <c r="D28" s="113"/>
      <c r="E28" s="122" t="e">
        <f>VLOOKUP(Table257519913140106110151155170178204241[[#This Row],[PEG]],Table1016[#All],3,FALSE)</f>
        <v>#N/A</v>
      </c>
    </row>
    <row r="29" spans="1:5">
      <c r="A29" s="114">
        <v>22</v>
      </c>
      <c r="B29" s="110" t="s">
        <v>12</v>
      </c>
      <c r="C29" s="105" t="e">
        <f>VLOOKUP(Table257519913140106110151155170178204241[[#This Row],[PEG]],Table1016[#All],2,FALSE)</f>
        <v>#N/A</v>
      </c>
      <c r="D29" s="113"/>
      <c r="E29" s="122" t="e">
        <f>VLOOKUP(Table257519913140106110151155170178204241[[#This Row],[PEG]],Table1016[#All],3,FALSE)</f>
        <v>#N/A</v>
      </c>
    </row>
    <row r="30" spans="1:5">
      <c r="A30" s="114">
        <v>23</v>
      </c>
      <c r="B30" s="110" t="s">
        <v>12</v>
      </c>
      <c r="C30" s="105" t="e">
        <f>VLOOKUP(Table257519913140106110151155170178204241[[#This Row],[PEG]],Table1016[#All],2,FALSE)</f>
        <v>#N/A</v>
      </c>
      <c r="D30" s="113"/>
      <c r="E30" s="122" t="e">
        <f>VLOOKUP(Table257519913140106110151155170178204241[[#This Row],[PEG]],Table1016[#All],3,FALSE)</f>
        <v>#N/A</v>
      </c>
    </row>
    <row r="31" spans="1:5">
      <c r="A31" s="114">
        <v>24</v>
      </c>
      <c r="B31" s="110" t="s">
        <v>115</v>
      </c>
      <c r="C31" s="105" t="e">
        <f>VLOOKUP(Table257519913140106110151155170178204241[[#This Row],[PEG]],Table1016[#All],2,FALSE)</f>
        <v>#N/A</v>
      </c>
      <c r="D31" s="113"/>
      <c r="E31" s="122" t="e">
        <f>VLOOKUP(Table257519913140106110151155170178204241[[#This Row],[PEG]],Table1016[#All],3,FALSE)</f>
        <v>#N/A</v>
      </c>
    </row>
    <row r="32" spans="1:5">
      <c r="A32" s="114">
        <v>25</v>
      </c>
      <c r="B32" s="110" t="s">
        <v>115</v>
      </c>
      <c r="C32" s="105" t="e">
        <f>VLOOKUP(Table257519913140106110151155170178204241[[#This Row],[PEG]],Table1016[#All],2,FALSE)</f>
        <v>#N/A</v>
      </c>
      <c r="D32" s="113"/>
      <c r="E32" s="122" t="e">
        <f>VLOOKUP(Table257519913140106110151155170178204241[[#This Row],[PEG]],Table1016[#All],3,FALSE)</f>
        <v>#N/A</v>
      </c>
    </row>
    <row r="33" spans="1:5">
      <c r="A33" s="114">
        <v>26</v>
      </c>
      <c r="B33" s="110" t="s">
        <v>124</v>
      </c>
      <c r="C33" s="105" t="e">
        <f>VLOOKUP(Table257519913140106110151155170178204241[[#This Row],[PEG]],Table1016[#All],2,FALSE)</f>
        <v>#N/A</v>
      </c>
      <c r="D33" s="113"/>
      <c r="E33" s="122" t="e">
        <f>VLOOKUP(Table257519913140106110151155170178204241[[#This Row],[PEG]],Table1016[#All],3,FALSE)</f>
        <v>#N/A</v>
      </c>
    </row>
    <row r="34" spans="1:5">
      <c r="A34" s="114">
        <v>27</v>
      </c>
      <c r="B34" s="110" t="s">
        <v>115</v>
      </c>
      <c r="C34" s="105" t="e">
        <f>VLOOKUP(Table257519913140106110151155170178204241[[#This Row],[PEG]],Table1016[#All],2,FALSE)</f>
        <v>#N/A</v>
      </c>
      <c r="D34" s="113"/>
      <c r="E34" s="122" t="e">
        <f>VLOOKUP(Table257519913140106110151155170178204241[[#This Row],[PEG]],Table1016[#All],3,FALSE)</f>
        <v>#N/A</v>
      </c>
    </row>
    <row r="35" spans="1:5">
      <c r="A35" s="114">
        <v>28</v>
      </c>
      <c r="B35" s="110" t="s">
        <v>124</v>
      </c>
      <c r="C35" s="105" t="e">
        <f>VLOOKUP(Table257519913140106110151155170178204241[[#This Row],[PEG]],Table1016[#All],2,FALSE)</f>
        <v>#N/A</v>
      </c>
      <c r="D35" s="113"/>
      <c r="E35" s="122" t="e">
        <f>VLOOKUP(Table257519913140106110151155170178204241[[#This Row],[PEG]],Table1016[#All],3,FALSE)</f>
        <v>#N/A</v>
      </c>
    </row>
    <row r="36" spans="1:5">
      <c r="A36" s="114">
        <v>29</v>
      </c>
      <c r="B36" s="110" t="s">
        <v>115</v>
      </c>
      <c r="C36" s="105" t="e">
        <f>VLOOKUP(Table257519913140106110151155170178204241[[#This Row],[PEG]],Table1016[#All],2,FALSE)</f>
        <v>#N/A</v>
      </c>
      <c r="D36" s="113"/>
      <c r="E36" s="122" t="e">
        <f>VLOOKUP(Table257519913140106110151155170178204241[[#This Row],[PEG]],Table1016[#All],3,FALSE)</f>
        <v>#N/A</v>
      </c>
    </row>
    <row r="37" spans="1:5">
      <c r="A37" s="114">
        <v>30</v>
      </c>
      <c r="B37" s="110" t="s">
        <v>12</v>
      </c>
      <c r="C37" s="105" t="e">
        <f>VLOOKUP(Table257519913140106110151155170178204241[[#This Row],[PEG]],Table1016[#All],2,FALSE)</f>
        <v>#N/A</v>
      </c>
      <c r="D37" s="113"/>
      <c r="E37" s="122" t="e">
        <f>VLOOKUP(Table257519913140106110151155170178204241[[#This Row],[PEG]],Table1016[#All],3,FALSE)</f>
        <v>#N/A</v>
      </c>
    </row>
    <row r="38" spans="1:5">
      <c r="A38" s="114">
        <v>31</v>
      </c>
      <c r="B38" s="110" t="s">
        <v>12</v>
      </c>
      <c r="C38" s="105" t="e">
        <f>VLOOKUP(Table257519913140106110151155170178204241[[#This Row],[PEG]],Table1016[#All],2,FALSE)</f>
        <v>#N/A</v>
      </c>
      <c r="D38" s="113"/>
      <c r="E38" s="122" t="e">
        <f>VLOOKUP(Table257519913140106110151155170178204241[[#This Row],[PEG]],Table1016[#All],3,FALSE)</f>
        <v>#N/A</v>
      </c>
    </row>
    <row r="39" spans="1:5">
      <c r="A39" s="114">
        <v>32</v>
      </c>
      <c r="B39" s="110" t="s">
        <v>12</v>
      </c>
      <c r="C39" s="105" t="e">
        <f>VLOOKUP(Table257519913140106110151155170178204241[[#This Row],[PEG]],Table1016[#All],2,FALSE)</f>
        <v>#N/A</v>
      </c>
      <c r="D39" s="113"/>
      <c r="E39" s="122" t="e">
        <f>VLOOKUP(Table257519913140106110151155170178204241[[#This Row],[PEG]],Table1016[#All],3,FALSE)</f>
        <v>#N/A</v>
      </c>
    </row>
    <row r="40" spans="1:5">
      <c r="A40" s="114">
        <v>33</v>
      </c>
      <c r="B40" s="110" t="s">
        <v>12</v>
      </c>
      <c r="C40" s="105" t="e">
        <f>VLOOKUP(Table257519913140106110151155170178204241[[#This Row],[PEG]],Table1016[#All],2,FALSE)</f>
        <v>#N/A</v>
      </c>
      <c r="D40" s="113"/>
      <c r="E40" s="122" t="e">
        <f>VLOOKUP(Table257519913140106110151155170178204241[[#This Row],[PEG]],Table1016[#All],3,FALSE)</f>
        <v>#N/A</v>
      </c>
    </row>
    <row r="41" spans="1:5">
      <c r="A41" s="114">
        <v>34</v>
      </c>
      <c r="B41" s="110" t="s">
        <v>115</v>
      </c>
      <c r="C41" s="105" t="e">
        <f>VLOOKUP(Table257519913140106110151155170178204241[[#This Row],[PEG]],Table1016[#All],2,FALSE)</f>
        <v>#N/A</v>
      </c>
      <c r="D41" s="113"/>
      <c r="E41" s="122" t="e">
        <f>VLOOKUP(Table257519913140106110151155170178204241[[#This Row],[PEG]],Table1016[#All],3,FALSE)</f>
        <v>#N/A</v>
      </c>
    </row>
    <row r="42" spans="1:5">
      <c r="A42" s="114">
        <v>35</v>
      </c>
      <c r="B42" s="110" t="s">
        <v>12</v>
      </c>
      <c r="C42" s="105" t="e">
        <f>VLOOKUP(Table257519913140106110151155170178204241[[#This Row],[PEG]],Table1016[#All],2,FALSE)</f>
        <v>#N/A</v>
      </c>
      <c r="D42" s="111"/>
      <c r="E42" s="122" t="e">
        <f>VLOOKUP(Table257519913140106110151155170178204241[[#This Row],[PEG]],Table1016[#All],3,FALSE)</f>
        <v>#N/A</v>
      </c>
    </row>
    <row r="43" spans="1:5">
      <c r="A43" s="114">
        <v>36</v>
      </c>
      <c r="B43" s="110" t="s">
        <v>115</v>
      </c>
      <c r="C43" s="105" t="e">
        <f>VLOOKUP(Table257519913140106110151155170178204241[[#This Row],[PEG]],Table1016[#All],2,FALSE)</f>
        <v>#N/A</v>
      </c>
      <c r="D43" s="111"/>
      <c r="E43" s="122" t="e">
        <f>VLOOKUP(Table257519913140106110151155170178204241[[#This Row],[PEG]],Table1016[#All],3,FALSE)</f>
        <v>#N/A</v>
      </c>
    </row>
    <row r="44" spans="1:5">
      <c r="A44" s="114">
        <v>37</v>
      </c>
      <c r="B44" s="110" t="s">
        <v>13</v>
      </c>
      <c r="C44" s="17" t="s">
        <v>13</v>
      </c>
      <c r="D44" s="111"/>
      <c r="E44" s="31"/>
    </row>
  </sheetData>
  <mergeCells count="1">
    <mergeCell ref="A1:B1"/>
  </mergeCells>
  <conditionalFormatting sqref="B8:B18">
    <cfRule type="containsText" dxfId="909" priority="1" operator="containsText" text="Hear">
      <formula>NOT(ISERROR(SEARCH("Hear",B8)))</formula>
    </cfRule>
  </conditionalFormatting>
  <conditionalFormatting sqref="B30">
    <cfRule type="containsText" dxfId="908" priority="4" operator="containsText" text="Hear">
      <formula>NOT(ISERROR(SEARCH("Hear",B30)))</formula>
    </cfRule>
  </conditionalFormatting>
  <conditionalFormatting sqref="B43:B44">
    <cfRule type="containsText" dxfId="907" priority="8" operator="containsText" text="Hear">
      <formula>NOT(ISERROR(SEARCH("Hear",B43)))</formula>
    </cfRule>
  </conditionalFormatting>
  <conditionalFormatting sqref="E44">
    <cfRule type="containsText" dxfId="906" priority="6" operator="containsText" text="WEB SERVICE">
      <formula>NOT(ISERROR(SEARCH("WEB SERVICE",E44)))</formula>
    </cfRule>
    <cfRule type="containsText" dxfId="905" priority="7" operator="containsText" text="DB">
      <formula>NOT(ISERROR(SEARCH("DB",E44)))</formula>
    </cfRule>
  </conditionalFormatting>
  <conditionalFormatting sqref="C44">
    <cfRule type="expression" dxfId="904" priority="9">
      <formula>$B44="Dial"</formula>
    </cfRule>
  </conditionalFormatting>
  <conditionalFormatting sqref="C44">
    <cfRule type="expression" dxfId="903" priority="3">
      <formula>$B44="Speak"</formula>
    </cfRule>
  </conditionalFormatting>
  <conditionalFormatting sqref="B19:B29 B31:B35 B42">
    <cfRule type="containsText" dxfId="902" priority="5" operator="containsText" text="Hear">
      <formula>NOT(ISERROR(SEARCH("Hear",B19)))</formula>
    </cfRule>
  </conditionalFormatting>
  <hyperlinks>
    <hyperlink ref="A1" location="'Test Case Overview'!A1" display="Return to Test Case Overview" xr:uid="{00000000-0004-0000-A6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F04BCDA9-2BC4-460F-93A1-D87D25962858}">
            <xm:f>'TC1'!$B8="HANGUP"</xm:f>
            <x14:dxf>
              <font>
                <b/>
                <i val="0"/>
              </font>
            </x14:dxf>
          </x14:cfRule>
          <xm:sqref>C8</xm:sqref>
        </x14:conditionalFormatting>
        <x14:conditionalFormatting xmlns:xm="http://schemas.microsoft.com/office/excel/2006/main">
          <x14:cfRule type="expression" priority="3313" id="{F04BCDA9-2BC4-460F-93A1-D87D25962858}">
            <xm:f>'TC1'!$B14="HANGUP"</xm:f>
            <x14:dxf>
              <font>
                <b/>
                <i val="0"/>
              </font>
            </x14:dxf>
          </x14:cfRule>
          <xm:sqref>C34:C43</xm:sqref>
        </x14:conditionalFormatting>
        <x14:conditionalFormatting xmlns:xm="http://schemas.microsoft.com/office/excel/2006/main">
          <x14:cfRule type="expression" priority="3314" id="{F04BCDA9-2BC4-460F-93A1-D87D25962858}">
            <xm:f>'TC1'!#REF!="HANGUP"</xm:f>
            <x14:dxf>
              <font>
                <b/>
                <i val="0"/>
              </font>
            </x14:dxf>
          </x14:cfRule>
          <xm:sqref>C13:C33</xm:sqref>
        </x14:conditionalFormatting>
        <x14:conditionalFormatting xmlns:xm="http://schemas.microsoft.com/office/excel/2006/main">
          <x14:cfRule type="expression" priority="4583" id="{F04BCDA9-2BC4-460F-93A1-D87D25962858}">
            <xm:f>'TC1'!$B10="HANGUP"</xm:f>
            <x14:dxf>
              <font>
                <b/>
                <i val="0"/>
              </font>
            </x14:dxf>
          </x14:cfRule>
          <xm:sqref>C9:C12</xm:sqref>
        </x14:conditionalFormatting>
      </x14:conditionalFormattings>
    </ext>
  </extLst>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sheetPr codeName="Sheet169"/>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TC167</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VLOOKUP(Table257519913140106110151155170178204243[[#This Row],[PEG]],Table1016[#All],2,FALSE)</f>
        <v>#N/A</v>
      </c>
      <c r="D9" s="125"/>
      <c r="E9" s="122" t="e">
        <f>VLOOKUP(Table257519913140106110151155170178204243[[#This Row],[PEG]],Table1016[#All],3,FALSE)</f>
        <v>#N/A</v>
      </c>
    </row>
    <row r="10" spans="1:5">
      <c r="A10" s="114">
        <v>3</v>
      </c>
      <c r="B10" s="110" t="s">
        <v>115</v>
      </c>
      <c r="C10" s="105" t="e">
        <f>VLOOKUP(Table257519913140106110151155170178204243[[#This Row],[PEG]],Table1016[#All],2,FALSE)</f>
        <v>#N/A</v>
      </c>
      <c r="D10" s="125"/>
      <c r="E10" s="122" t="e">
        <f>VLOOKUP(Table257519913140106110151155170178204243[[#This Row],[PEG]],Table1016[#All],3,FALSE)</f>
        <v>#N/A</v>
      </c>
    </row>
    <row r="11" spans="1:5">
      <c r="A11" s="114">
        <v>4</v>
      </c>
      <c r="B11" s="110" t="s">
        <v>115</v>
      </c>
      <c r="C11" s="105" t="e">
        <f>VLOOKUP(Table257519913140106110151155170178204243[[#This Row],[PEG]],Table1016[#All],2,FALSE)</f>
        <v>#N/A</v>
      </c>
      <c r="D11" s="125"/>
      <c r="E11" s="122" t="e">
        <f>VLOOKUP(Table257519913140106110151155170178204243[[#This Row],[PEG]],Table1016[#All],3,FALSE)</f>
        <v>#N/A</v>
      </c>
    </row>
    <row r="12" spans="1:5">
      <c r="A12" s="114">
        <v>5</v>
      </c>
      <c r="B12" s="110" t="s">
        <v>114</v>
      </c>
      <c r="C12" s="105" t="e">
        <f>VLOOKUP(Table257519913140106110151155170178204243[[#This Row],[PEG]],Table1016[#All],2,FALSE)</f>
        <v>#N/A</v>
      </c>
      <c r="D12" s="125"/>
      <c r="E12" s="122" t="e">
        <f>VLOOKUP(Table257519913140106110151155170178204243[[#This Row],[PEG]],Table1016[#All],3,FALSE)</f>
        <v>#N/A</v>
      </c>
    </row>
    <row r="13" spans="1:5">
      <c r="A13" s="114">
        <v>6</v>
      </c>
      <c r="B13" s="110" t="s">
        <v>115</v>
      </c>
      <c r="C13" s="105" t="e">
        <f>VLOOKUP(Table257519913140106110151155170178204243[[#This Row],[PEG]],Table1016[#All],2,FALSE)</f>
        <v>#N/A</v>
      </c>
      <c r="D13" s="125"/>
      <c r="E13" s="122" t="e">
        <f>VLOOKUP(Table257519913140106110151155170178204243[[#This Row],[PEG]],Table1016[#All],3,FALSE)</f>
        <v>#N/A</v>
      </c>
    </row>
    <row r="14" spans="1:5">
      <c r="A14" s="114">
        <v>7</v>
      </c>
      <c r="B14" s="110" t="s">
        <v>114</v>
      </c>
      <c r="C14" s="105" t="e">
        <f>VLOOKUP(Table257519913140106110151155170178204243[[#This Row],[PEG]],Table1016[#All],2,FALSE)</f>
        <v>#N/A</v>
      </c>
      <c r="D14" s="125"/>
      <c r="E14" s="122" t="e">
        <f>VLOOKUP(Table257519913140106110151155170178204243[[#This Row],[PEG]],Table1016[#All],3,FALSE)</f>
        <v>#N/A</v>
      </c>
    </row>
    <row r="15" spans="1:5">
      <c r="A15" s="114">
        <v>8</v>
      </c>
      <c r="B15" s="110" t="s">
        <v>115</v>
      </c>
      <c r="C15" s="105" t="e">
        <f>VLOOKUP(Table257519913140106110151155170178204243[[#This Row],[PEG]],Table1016[#All],2,FALSE)</f>
        <v>#N/A</v>
      </c>
      <c r="D15" s="112"/>
      <c r="E15" s="122" t="e">
        <f>VLOOKUP(Table257519913140106110151155170178204243[[#This Row],[PEG]],Table1016[#All],3,FALSE)</f>
        <v>#N/A</v>
      </c>
    </row>
    <row r="16" spans="1:5">
      <c r="A16" s="114">
        <v>9</v>
      </c>
      <c r="B16" s="110" t="s">
        <v>12</v>
      </c>
      <c r="C16" s="105" t="e">
        <f>VLOOKUP(Table257519913140106110151155170178204243[[#This Row],[PEG]],Table1016[#All],2,FALSE)</f>
        <v>#N/A</v>
      </c>
      <c r="D16" s="112"/>
      <c r="E16" s="122" t="e">
        <f>VLOOKUP(Table257519913140106110151155170178204243[[#This Row],[PEG]],Table1016[#All],3,FALSE)</f>
        <v>#N/A</v>
      </c>
    </row>
    <row r="17" spans="1:5">
      <c r="A17" s="114">
        <v>10</v>
      </c>
      <c r="B17" s="110" t="s">
        <v>12</v>
      </c>
      <c r="C17" s="105" t="e">
        <f>VLOOKUP(Table257519913140106110151155170178204243[[#This Row],[PEG]],Table1016[#All],2,FALSE)</f>
        <v>#N/A</v>
      </c>
      <c r="D17" s="113"/>
      <c r="E17" s="122" t="e">
        <f>VLOOKUP(Table257519913140106110151155170178204243[[#This Row],[PEG]],Table1016[#All],3,FALSE)</f>
        <v>#N/A</v>
      </c>
    </row>
    <row r="18" spans="1:5">
      <c r="A18" s="114">
        <v>11</v>
      </c>
      <c r="B18" s="110" t="s">
        <v>115</v>
      </c>
      <c r="C18" s="105" t="e">
        <f>VLOOKUP(Table257519913140106110151155170178204243[[#This Row],[PEG]],Table1016[#All],2,FALSE)</f>
        <v>#N/A</v>
      </c>
      <c r="D18" s="113"/>
      <c r="E18" s="122" t="e">
        <f>VLOOKUP(Table257519913140106110151155170178204243[[#This Row],[PEG]],Table1016[#All],3,FALSE)</f>
        <v>#N/A</v>
      </c>
    </row>
    <row r="19" spans="1:5">
      <c r="A19" s="114">
        <v>12</v>
      </c>
      <c r="B19" s="110" t="s">
        <v>115</v>
      </c>
      <c r="C19" s="105" t="e">
        <f>VLOOKUP(Table257519913140106110151155170178204243[[#This Row],[PEG]],Table1016[#All],2,FALSE)</f>
        <v>#N/A</v>
      </c>
      <c r="D19" s="113"/>
      <c r="E19" s="122" t="e">
        <f>VLOOKUP(Table257519913140106110151155170178204243[[#This Row],[PEG]],Table1016[#All],3,FALSE)</f>
        <v>#N/A</v>
      </c>
    </row>
    <row r="20" spans="1:5">
      <c r="A20" s="114">
        <v>13</v>
      </c>
      <c r="B20" s="110" t="s">
        <v>114</v>
      </c>
      <c r="C20" s="105" t="e">
        <f>VLOOKUP(Table257519913140106110151155170178204243[[#This Row],[PEG]],Table1016[#All],2,FALSE)</f>
        <v>#N/A</v>
      </c>
      <c r="D20" s="113"/>
      <c r="E20" s="122" t="e">
        <f>VLOOKUP(Table257519913140106110151155170178204243[[#This Row],[PEG]],Table1016[#All],3,FALSE)</f>
        <v>#N/A</v>
      </c>
    </row>
    <row r="21" spans="1:5">
      <c r="A21" s="114">
        <v>14</v>
      </c>
      <c r="B21" s="110" t="s">
        <v>12</v>
      </c>
      <c r="C21" s="105" t="e">
        <f>VLOOKUP(Table257519913140106110151155170178204243[[#This Row],[PEG]],Table1016[#All],2,FALSE)</f>
        <v>#N/A</v>
      </c>
      <c r="D21" s="113"/>
      <c r="E21" s="122" t="e">
        <f>VLOOKUP(Table257519913140106110151155170178204243[[#This Row],[PEG]],Table1016[#All],3,FALSE)</f>
        <v>#N/A</v>
      </c>
    </row>
    <row r="22" spans="1:5">
      <c r="A22" s="114">
        <v>15</v>
      </c>
      <c r="B22" s="110" t="s">
        <v>12</v>
      </c>
      <c r="C22" s="105" t="e">
        <f>VLOOKUP(Table257519913140106110151155170178204243[[#This Row],[PEG]],Table1016[#All],2,FALSE)</f>
        <v>#N/A</v>
      </c>
      <c r="D22" s="113"/>
      <c r="E22" s="122" t="e">
        <f>VLOOKUP(Table257519913140106110151155170178204243[[#This Row],[PEG]],Table1016[#All],3,FALSE)</f>
        <v>#N/A</v>
      </c>
    </row>
    <row r="23" spans="1:5">
      <c r="A23" s="114">
        <v>16</v>
      </c>
      <c r="B23" s="110" t="s">
        <v>115</v>
      </c>
      <c r="C23" s="105" t="e">
        <f>VLOOKUP(Table257519913140106110151155170178204243[[#This Row],[PEG]],Table1016[#All],2,FALSE)</f>
        <v>#N/A</v>
      </c>
      <c r="D23" s="113"/>
      <c r="E23" s="122" t="e">
        <f>VLOOKUP(Table257519913140106110151155170178204243[[#This Row],[PEG]],Table1016[#All],3,FALSE)</f>
        <v>#N/A</v>
      </c>
    </row>
    <row r="24" spans="1:5">
      <c r="A24" s="114">
        <v>17</v>
      </c>
      <c r="B24" s="110" t="s">
        <v>114</v>
      </c>
      <c r="C24" s="105" t="e">
        <f>VLOOKUP(Table257519913140106110151155170178204243[[#This Row],[PEG]],Table1016[#All],2,FALSE)</f>
        <v>#N/A</v>
      </c>
      <c r="D24" s="113"/>
      <c r="E24" s="122" t="e">
        <f>VLOOKUP(Table257519913140106110151155170178204243[[#This Row],[PEG]],Table1016[#All],3,FALSE)</f>
        <v>#N/A</v>
      </c>
    </row>
    <row r="25" spans="1:5">
      <c r="A25" s="114">
        <v>18</v>
      </c>
      <c r="B25" s="110" t="s">
        <v>12</v>
      </c>
      <c r="C25" s="105" t="e">
        <f>VLOOKUP(Table257519913140106110151155170178204243[[#This Row],[PEG]],Table1016[#All],2,FALSE)</f>
        <v>#N/A</v>
      </c>
      <c r="D25" s="113"/>
      <c r="E25" s="122" t="e">
        <f>VLOOKUP(Table257519913140106110151155170178204243[[#This Row],[PEG]],Table1016[#All],3,FALSE)</f>
        <v>#N/A</v>
      </c>
    </row>
    <row r="26" spans="1:5">
      <c r="A26" s="114">
        <v>19</v>
      </c>
      <c r="B26" s="110" t="s">
        <v>12</v>
      </c>
      <c r="C26" s="105" t="e">
        <f>VLOOKUP(Table257519913140106110151155170178204243[[#This Row],[PEG]],Table1016[#All],2,FALSE)</f>
        <v>#N/A</v>
      </c>
      <c r="D26" s="113"/>
      <c r="E26" s="122" t="e">
        <f>VLOOKUP(Table257519913140106110151155170178204243[[#This Row],[PEG]],Table1016[#All],3,FALSE)</f>
        <v>#N/A</v>
      </c>
    </row>
    <row r="27" spans="1:5">
      <c r="A27" s="114">
        <v>20</v>
      </c>
      <c r="B27" s="110" t="s">
        <v>115</v>
      </c>
      <c r="C27" s="105" t="e">
        <f>VLOOKUP(Table257519913140106110151155170178204243[[#This Row],[PEG]],Table1016[#All],2,FALSE)</f>
        <v>#N/A</v>
      </c>
      <c r="D27" s="113"/>
      <c r="E27" s="122" t="e">
        <f>VLOOKUP(Table257519913140106110151155170178204243[[#This Row],[PEG]],Table1016[#All],3,FALSE)</f>
        <v>#N/A</v>
      </c>
    </row>
    <row r="28" spans="1:5">
      <c r="A28" s="114">
        <v>21</v>
      </c>
      <c r="B28" s="110" t="s">
        <v>114</v>
      </c>
      <c r="C28" s="105" t="e">
        <f>VLOOKUP(Table257519913140106110151155170178204243[[#This Row],[PEG]],Table1016[#All],2,FALSE)</f>
        <v>#N/A</v>
      </c>
      <c r="D28" s="113"/>
      <c r="E28" s="122" t="e">
        <f>VLOOKUP(Table257519913140106110151155170178204243[[#This Row],[PEG]],Table1016[#All],3,FALSE)</f>
        <v>#N/A</v>
      </c>
    </row>
    <row r="29" spans="1:5">
      <c r="A29" s="114">
        <v>22</v>
      </c>
      <c r="B29" s="110" t="s">
        <v>12</v>
      </c>
      <c r="C29" s="105" t="e">
        <f>VLOOKUP(Table257519913140106110151155170178204243[[#This Row],[PEG]],Table1016[#All],2,FALSE)</f>
        <v>#N/A</v>
      </c>
      <c r="D29" s="113"/>
      <c r="E29" s="122" t="e">
        <f>VLOOKUP(Table257519913140106110151155170178204243[[#This Row],[PEG]],Table1016[#All],3,FALSE)</f>
        <v>#N/A</v>
      </c>
    </row>
    <row r="30" spans="1:5">
      <c r="A30" s="114">
        <v>23</v>
      </c>
      <c r="B30" s="110" t="s">
        <v>12</v>
      </c>
      <c r="C30" s="105" t="e">
        <f>VLOOKUP(Table257519913140106110151155170178204243[[#This Row],[PEG]],Table1016[#All],2,FALSE)</f>
        <v>#N/A</v>
      </c>
      <c r="D30" s="113"/>
      <c r="E30" s="122" t="e">
        <f>VLOOKUP(Table257519913140106110151155170178204243[[#This Row],[PEG]],Table1016[#All],3,FALSE)</f>
        <v>#N/A</v>
      </c>
    </row>
    <row r="31" spans="1:5">
      <c r="A31" s="114">
        <v>24</v>
      </c>
      <c r="B31" s="110" t="s">
        <v>115</v>
      </c>
      <c r="C31" s="105" t="e">
        <f>VLOOKUP(Table257519913140106110151155170178204243[[#This Row],[PEG]],Table1016[#All],2,FALSE)</f>
        <v>#N/A</v>
      </c>
      <c r="D31" s="113"/>
      <c r="E31" s="122" t="e">
        <f>VLOOKUP(Table257519913140106110151155170178204243[[#This Row],[PEG]],Table1016[#All],3,FALSE)</f>
        <v>#N/A</v>
      </c>
    </row>
    <row r="32" spans="1:5">
      <c r="A32" s="114">
        <v>25</v>
      </c>
      <c r="B32" s="110" t="s">
        <v>115</v>
      </c>
      <c r="C32" s="105" t="e">
        <f>VLOOKUP(Table257519913140106110151155170178204243[[#This Row],[PEG]],Table1016[#All],2,FALSE)</f>
        <v>#N/A</v>
      </c>
      <c r="D32" s="113"/>
      <c r="E32" s="122" t="e">
        <f>VLOOKUP(Table257519913140106110151155170178204243[[#This Row],[PEG]],Table1016[#All],3,FALSE)</f>
        <v>#N/A</v>
      </c>
    </row>
    <row r="33" spans="1:5">
      <c r="A33" s="114">
        <v>26</v>
      </c>
      <c r="B33" s="110" t="s">
        <v>124</v>
      </c>
      <c r="C33" s="105" t="e">
        <f>VLOOKUP(Table257519913140106110151155170178204243[[#This Row],[PEG]],Table1016[#All],2,FALSE)</f>
        <v>#N/A</v>
      </c>
      <c r="D33" s="113"/>
      <c r="E33" s="122" t="e">
        <f>VLOOKUP(Table257519913140106110151155170178204243[[#This Row],[PEG]],Table1016[#All],3,FALSE)</f>
        <v>#N/A</v>
      </c>
    </row>
    <row r="34" spans="1:5">
      <c r="A34" s="114">
        <v>27</v>
      </c>
      <c r="B34" s="110" t="s">
        <v>115</v>
      </c>
      <c r="C34" s="105" t="e">
        <f>VLOOKUP(Table257519913140106110151155170178204243[[#This Row],[PEG]],Table1016[#All],2,FALSE)</f>
        <v>#N/A</v>
      </c>
      <c r="D34" s="113"/>
      <c r="E34" s="122" t="e">
        <f>VLOOKUP(Table257519913140106110151155170178204243[[#This Row],[PEG]],Table1016[#All],3,FALSE)</f>
        <v>#N/A</v>
      </c>
    </row>
    <row r="35" spans="1:5">
      <c r="A35" s="114">
        <v>28</v>
      </c>
      <c r="B35" s="110" t="s">
        <v>124</v>
      </c>
      <c r="C35" s="105" t="e">
        <f>VLOOKUP(Table257519913140106110151155170178204243[[#This Row],[PEG]],Table1016[#All],2,FALSE)</f>
        <v>#N/A</v>
      </c>
      <c r="D35" s="113"/>
      <c r="E35" s="122" t="e">
        <f>VLOOKUP(Table257519913140106110151155170178204243[[#This Row],[PEG]],Table1016[#All],3,FALSE)</f>
        <v>#N/A</v>
      </c>
    </row>
    <row r="36" spans="1:5">
      <c r="A36" s="114">
        <v>29</v>
      </c>
      <c r="B36" s="110" t="s">
        <v>115</v>
      </c>
      <c r="C36" s="105" t="e">
        <f>VLOOKUP(Table257519913140106110151155170178204243[[#This Row],[PEG]],Table1016[#All],2,FALSE)</f>
        <v>#N/A</v>
      </c>
      <c r="D36" s="113"/>
      <c r="E36" s="122" t="e">
        <f>VLOOKUP(Table257519913140106110151155170178204243[[#This Row],[PEG]],Table1016[#All],3,FALSE)</f>
        <v>#N/A</v>
      </c>
    </row>
    <row r="37" spans="1:5">
      <c r="A37" s="114">
        <v>30</v>
      </c>
      <c r="B37" s="110" t="s">
        <v>12</v>
      </c>
      <c r="C37" s="105" t="e">
        <f>VLOOKUP(Table257519913140106110151155170178204243[[#This Row],[PEG]],Table1016[#All],2,FALSE)</f>
        <v>#N/A</v>
      </c>
      <c r="D37" s="113"/>
      <c r="E37" s="122" t="e">
        <f>VLOOKUP(Table257519913140106110151155170178204243[[#This Row],[PEG]],Table1016[#All],3,FALSE)</f>
        <v>#N/A</v>
      </c>
    </row>
    <row r="38" spans="1:5">
      <c r="A38" s="114">
        <v>31</v>
      </c>
      <c r="B38" s="110" t="s">
        <v>12</v>
      </c>
      <c r="C38" s="105" t="e">
        <f>VLOOKUP(Table257519913140106110151155170178204243[[#This Row],[PEG]],Table1016[#All],2,FALSE)</f>
        <v>#N/A</v>
      </c>
      <c r="D38" s="113"/>
      <c r="E38" s="122" t="e">
        <f>VLOOKUP(Table257519913140106110151155170178204243[[#This Row],[PEG]],Table1016[#All],3,FALSE)</f>
        <v>#N/A</v>
      </c>
    </row>
    <row r="39" spans="1:5">
      <c r="A39" s="114">
        <v>32</v>
      </c>
      <c r="B39" s="110" t="s">
        <v>12</v>
      </c>
      <c r="C39" s="105" t="e">
        <f>VLOOKUP(Table257519913140106110151155170178204243[[#This Row],[PEG]],Table1016[#All],2,FALSE)</f>
        <v>#N/A</v>
      </c>
      <c r="D39" s="113"/>
      <c r="E39" s="122" t="e">
        <f>VLOOKUP(Table257519913140106110151155170178204243[[#This Row],[PEG]],Table1016[#All],3,FALSE)</f>
        <v>#N/A</v>
      </c>
    </row>
    <row r="40" spans="1:5">
      <c r="A40" s="114">
        <v>33</v>
      </c>
      <c r="B40" s="110" t="s">
        <v>12</v>
      </c>
      <c r="C40" s="105" t="e">
        <f>VLOOKUP(Table257519913140106110151155170178204243[[#This Row],[PEG]],Table1016[#All],2,FALSE)</f>
        <v>#N/A</v>
      </c>
      <c r="D40" s="113"/>
      <c r="E40" s="122" t="e">
        <f>VLOOKUP(Table257519913140106110151155170178204243[[#This Row],[PEG]],Table1016[#All],3,FALSE)</f>
        <v>#N/A</v>
      </c>
    </row>
    <row r="41" spans="1:5">
      <c r="A41" s="114">
        <v>34</v>
      </c>
      <c r="B41" s="110" t="s">
        <v>115</v>
      </c>
      <c r="C41" s="105" t="e">
        <f>VLOOKUP(Table257519913140106110151155170178204243[[#This Row],[PEG]],Table1016[#All],2,FALSE)</f>
        <v>#N/A</v>
      </c>
      <c r="D41" s="113"/>
      <c r="E41" s="122" t="e">
        <f>VLOOKUP(Table257519913140106110151155170178204243[[#This Row],[PEG]],Table1016[#All],3,FALSE)</f>
        <v>#N/A</v>
      </c>
    </row>
    <row r="42" spans="1:5">
      <c r="A42" s="114">
        <v>35</v>
      </c>
      <c r="B42" s="110" t="s">
        <v>12</v>
      </c>
      <c r="C42" s="105" t="e">
        <f>VLOOKUP(Table257519913140106110151155170178204243[[#This Row],[PEG]],Table1016[#All],2,FALSE)</f>
        <v>#N/A</v>
      </c>
      <c r="D42" s="111"/>
      <c r="E42" s="122" t="e">
        <f>VLOOKUP(Table257519913140106110151155170178204243[[#This Row],[PEG]],Table1016[#All],3,FALSE)</f>
        <v>#N/A</v>
      </c>
    </row>
    <row r="43" spans="1:5">
      <c r="A43" s="114">
        <v>36</v>
      </c>
      <c r="B43" s="110" t="s">
        <v>115</v>
      </c>
      <c r="C43" s="105" t="e">
        <f>VLOOKUP(Table257519913140106110151155170178204243[[#This Row],[PEG]],Table1016[#All],2,FALSE)</f>
        <v>#N/A</v>
      </c>
      <c r="D43" s="111"/>
      <c r="E43" s="122" t="e">
        <f>VLOOKUP(Table257519913140106110151155170178204243[[#This Row],[PEG]],Table1016[#All],3,FALSE)</f>
        <v>#N/A</v>
      </c>
    </row>
    <row r="44" spans="1:5">
      <c r="A44" s="114">
        <v>37</v>
      </c>
      <c r="B44" s="110" t="s">
        <v>13</v>
      </c>
      <c r="C44" s="17" t="s">
        <v>13</v>
      </c>
      <c r="D44" s="111"/>
      <c r="E44" s="31"/>
    </row>
  </sheetData>
  <mergeCells count="1">
    <mergeCell ref="A1:B1"/>
  </mergeCells>
  <conditionalFormatting sqref="B8:B18">
    <cfRule type="containsText" dxfId="888" priority="1" operator="containsText" text="Hear">
      <formula>NOT(ISERROR(SEARCH("Hear",B8)))</formula>
    </cfRule>
  </conditionalFormatting>
  <conditionalFormatting sqref="B30">
    <cfRule type="containsText" dxfId="887" priority="4" operator="containsText" text="Hear">
      <formula>NOT(ISERROR(SEARCH("Hear",B30)))</formula>
    </cfRule>
  </conditionalFormatting>
  <conditionalFormatting sqref="B43:B44">
    <cfRule type="containsText" dxfId="886" priority="8" operator="containsText" text="Hear">
      <formula>NOT(ISERROR(SEARCH("Hear",B43)))</formula>
    </cfRule>
  </conditionalFormatting>
  <conditionalFormatting sqref="E44">
    <cfRule type="containsText" dxfId="885" priority="6" operator="containsText" text="WEB SERVICE">
      <formula>NOT(ISERROR(SEARCH("WEB SERVICE",E44)))</formula>
    </cfRule>
    <cfRule type="containsText" dxfId="884" priority="7" operator="containsText" text="DB">
      <formula>NOT(ISERROR(SEARCH("DB",E44)))</formula>
    </cfRule>
  </conditionalFormatting>
  <conditionalFormatting sqref="C44">
    <cfRule type="expression" dxfId="883" priority="9">
      <formula>$B44="Dial"</formula>
    </cfRule>
  </conditionalFormatting>
  <conditionalFormatting sqref="C44">
    <cfRule type="expression" dxfId="882" priority="3">
      <formula>$B44="Speak"</formula>
    </cfRule>
  </conditionalFormatting>
  <conditionalFormatting sqref="B19:B29 B31:B35 B42">
    <cfRule type="containsText" dxfId="881" priority="5" operator="containsText" text="Hear">
      <formula>NOT(ISERROR(SEARCH("Hear",B19)))</formula>
    </cfRule>
  </conditionalFormatting>
  <hyperlinks>
    <hyperlink ref="A1" location="'Test Case Overview'!A1" display="Return to Test Case Overview" xr:uid="{00000000-0004-0000-A7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FD1B90F2-5304-4331-A8A7-F2681A90F206}">
            <xm:f>'TC1'!$B8="HANGUP"</xm:f>
            <x14:dxf>
              <font>
                <b/>
                <i val="0"/>
              </font>
            </x14:dxf>
          </x14:cfRule>
          <xm:sqref>C8</xm:sqref>
        </x14:conditionalFormatting>
        <x14:conditionalFormatting xmlns:xm="http://schemas.microsoft.com/office/excel/2006/main">
          <x14:cfRule type="expression" priority="3317" id="{FD1B90F2-5304-4331-A8A7-F2681A90F206}">
            <xm:f>'TC1'!$B14="HANGUP"</xm:f>
            <x14:dxf>
              <font>
                <b/>
                <i val="0"/>
              </font>
            </x14:dxf>
          </x14:cfRule>
          <xm:sqref>C34:C43</xm:sqref>
        </x14:conditionalFormatting>
        <x14:conditionalFormatting xmlns:xm="http://schemas.microsoft.com/office/excel/2006/main">
          <x14:cfRule type="expression" priority="3318" id="{FD1B90F2-5304-4331-A8A7-F2681A90F206}">
            <xm:f>'TC1'!#REF!="HANGUP"</xm:f>
            <x14:dxf>
              <font>
                <b/>
                <i val="0"/>
              </font>
            </x14:dxf>
          </x14:cfRule>
          <xm:sqref>C13:C33</xm:sqref>
        </x14:conditionalFormatting>
        <x14:conditionalFormatting xmlns:xm="http://schemas.microsoft.com/office/excel/2006/main">
          <x14:cfRule type="expression" priority="4585" id="{FD1B90F2-5304-4331-A8A7-F2681A90F206}">
            <xm:f>'TC1'!$B10="HANGUP"</xm:f>
            <x14:dxf>
              <font>
                <b/>
                <i val="0"/>
              </font>
            </x14:dxf>
          </x14:cfRule>
          <xm:sqref>C9:C12</xm:sqref>
        </x14:conditionalFormatting>
      </x14:conditionalFormattings>
    </ext>
  </extLst>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sheetPr codeName="Sheet170"/>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TC168</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VLOOKUP(Table257519913140106110151155170178204245[[#This Row],[PEG]],Table1016[#All],2,FALSE)</f>
        <v>#N/A</v>
      </c>
      <c r="D9" s="125"/>
      <c r="E9" s="122" t="e">
        <f>VLOOKUP(Table257519913140106110151155170178204245[[#This Row],[PEG]],Table1016[#All],3,FALSE)</f>
        <v>#N/A</v>
      </c>
    </row>
    <row r="10" spans="1:5">
      <c r="A10" s="114">
        <v>3</v>
      </c>
      <c r="B10" s="110" t="s">
        <v>115</v>
      </c>
      <c r="C10" s="105" t="e">
        <f>VLOOKUP(Table257519913140106110151155170178204245[[#This Row],[PEG]],Table1016[#All],2,FALSE)</f>
        <v>#N/A</v>
      </c>
      <c r="D10" s="125"/>
      <c r="E10" s="122" t="e">
        <f>VLOOKUP(Table257519913140106110151155170178204245[[#This Row],[PEG]],Table1016[#All],3,FALSE)</f>
        <v>#N/A</v>
      </c>
    </row>
    <row r="11" spans="1:5">
      <c r="A11" s="114">
        <v>4</v>
      </c>
      <c r="B11" s="110" t="s">
        <v>115</v>
      </c>
      <c r="C11" s="105" t="e">
        <f>VLOOKUP(Table257519913140106110151155170178204245[[#This Row],[PEG]],Table1016[#All],2,FALSE)</f>
        <v>#N/A</v>
      </c>
      <c r="D11" s="125"/>
      <c r="E11" s="122" t="e">
        <f>VLOOKUP(Table257519913140106110151155170178204245[[#This Row],[PEG]],Table1016[#All],3,FALSE)</f>
        <v>#N/A</v>
      </c>
    </row>
    <row r="12" spans="1:5">
      <c r="A12" s="114">
        <v>5</v>
      </c>
      <c r="B12" s="110" t="s">
        <v>114</v>
      </c>
      <c r="C12" s="105" t="e">
        <f>VLOOKUP(Table257519913140106110151155170178204245[[#This Row],[PEG]],Table1016[#All],2,FALSE)</f>
        <v>#N/A</v>
      </c>
      <c r="D12" s="125"/>
      <c r="E12" s="122" t="e">
        <f>VLOOKUP(Table257519913140106110151155170178204245[[#This Row],[PEG]],Table1016[#All],3,FALSE)</f>
        <v>#N/A</v>
      </c>
    </row>
    <row r="13" spans="1:5">
      <c r="A13" s="114">
        <v>6</v>
      </c>
      <c r="B13" s="110" t="s">
        <v>115</v>
      </c>
      <c r="C13" s="105" t="e">
        <f>VLOOKUP(Table257519913140106110151155170178204245[[#This Row],[PEG]],Table1016[#All],2,FALSE)</f>
        <v>#N/A</v>
      </c>
      <c r="D13" s="125"/>
      <c r="E13" s="122" t="e">
        <f>VLOOKUP(Table257519913140106110151155170178204245[[#This Row],[PEG]],Table1016[#All],3,FALSE)</f>
        <v>#N/A</v>
      </c>
    </row>
    <row r="14" spans="1:5">
      <c r="A14" s="114">
        <v>7</v>
      </c>
      <c r="B14" s="110" t="s">
        <v>114</v>
      </c>
      <c r="C14" s="105" t="e">
        <f>VLOOKUP(Table257519913140106110151155170178204245[[#This Row],[PEG]],Table1016[#All],2,FALSE)</f>
        <v>#N/A</v>
      </c>
      <c r="D14" s="125"/>
      <c r="E14" s="122" t="e">
        <f>VLOOKUP(Table257519913140106110151155170178204245[[#This Row],[PEG]],Table1016[#All],3,FALSE)</f>
        <v>#N/A</v>
      </c>
    </row>
    <row r="15" spans="1:5">
      <c r="A15" s="114">
        <v>8</v>
      </c>
      <c r="B15" s="110" t="s">
        <v>115</v>
      </c>
      <c r="C15" s="105" t="e">
        <f>VLOOKUP(Table257519913140106110151155170178204245[[#This Row],[PEG]],Table1016[#All],2,FALSE)</f>
        <v>#N/A</v>
      </c>
      <c r="D15" s="112"/>
      <c r="E15" s="122" t="e">
        <f>VLOOKUP(Table257519913140106110151155170178204245[[#This Row],[PEG]],Table1016[#All],3,FALSE)</f>
        <v>#N/A</v>
      </c>
    </row>
    <row r="16" spans="1:5">
      <c r="A16" s="114">
        <v>9</v>
      </c>
      <c r="B16" s="110" t="s">
        <v>12</v>
      </c>
      <c r="C16" s="105" t="e">
        <f>VLOOKUP(Table257519913140106110151155170178204245[[#This Row],[PEG]],Table1016[#All],2,FALSE)</f>
        <v>#N/A</v>
      </c>
      <c r="D16" s="112"/>
      <c r="E16" s="122" t="e">
        <f>VLOOKUP(Table257519913140106110151155170178204245[[#This Row],[PEG]],Table1016[#All],3,FALSE)</f>
        <v>#N/A</v>
      </c>
    </row>
    <row r="17" spans="1:5">
      <c r="A17" s="114">
        <v>10</v>
      </c>
      <c r="B17" s="110" t="s">
        <v>12</v>
      </c>
      <c r="C17" s="105" t="e">
        <f>VLOOKUP(Table257519913140106110151155170178204245[[#This Row],[PEG]],Table1016[#All],2,FALSE)</f>
        <v>#N/A</v>
      </c>
      <c r="D17" s="113"/>
      <c r="E17" s="122" t="e">
        <f>VLOOKUP(Table257519913140106110151155170178204245[[#This Row],[PEG]],Table1016[#All],3,FALSE)</f>
        <v>#N/A</v>
      </c>
    </row>
    <row r="18" spans="1:5">
      <c r="A18" s="114">
        <v>11</v>
      </c>
      <c r="B18" s="110" t="s">
        <v>115</v>
      </c>
      <c r="C18" s="105" t="e">
        <f>VLOOKUP(Table257519913140106110151155170178204245[[#This Row],[PEG]],Table1016[#All],2,FALSE)</f>
        <v>#N/A</v>
      </c>
      <c r="D18" s="113"/>
      <c r="E18" s="122" t="e">
        <f>VLOOKUP(Table257519913140106110151155170178204245[[#This Row],[PEG]],Table1016[#All],3,FALSE)</f>
        <v>#N/A</v>
      </c>
    </row>
    <row r="19" spans="1:5">
      <c r="A19" s="114">
        <v>12</v>
      </c>
      <c r="B19" s="110" t="s">
        <v>115</v>
      </c>
      <c r="C19" s="105" t="e">
        <f>VLOOKUP(Table257519913140106110151155170178204245[[#This Row],[PEG]],Table1016[#All],2,FALSE)</f>
        <v>#N/A</v>
      </c>
      <c r="D19" s="113"/>
      <c r="E19" s="122" t="e">
        <f>VLOOKUP(Table257519913140106110151155170178204245[[#This Row],[PEG]],Table1016[#All],3,FALSE)</f>
        <v>#N/A</v>
      </c>
    </row>
    <row r="20" spans="1:5">
      <c r="A20" s="114">
        <v>13</v>
      </c>
      <c r="B20" s="110" t="s">
        <v>114</v>
      </c>
      <c r="C20" s="105" t="e">
        <f>VLOOKUP(Table257519913140106110151155170178204245[[#This Row],[PEG]],Table1016[#All],2,FALSE)</f>
        <v>#N/A</v>
      </c>
      <c r="D20" s="113"/>
      <c r="E20" s="122" t="e">
        <f>VLOOKUP(Table257519913140106110151155170178204245[[#This Row],[PEG]],Table1016[#All],3,FALSE)</f>
        <v>#N/A</v>
      </c>
    </row>
    <row r="21" spans="1:5">
      <c r="A21" s="114">
        <v>14</v>
      </c>
      <c r="B21" s="110" t="s">
        <v>12</v>
      </c>
      <c r="C21" s="105" t="e">
        <f>VLOOKUP(Table257519913140106110151155170178204245[[#This Row],[PEG]],Table1016[#All],2,FALSE)</f>
        <v>#N/A</v>
      </c>
      <c r="D21" s="113"/>
      <c r="E21" s="122" t="e">
        <f>VLOOKUP(Table257519913140106110151155170178204245[[#This Row],[PEG]],Table1016[#All],3,FALSE)</f>
        <v>#N/A</v>
      </c>
    </row>
    <row r="22" spans="1:5">
      <c r="A22" s="114">
        <v>15</v>
      </c>
      <c r="B22" s="110" t="s">
        <v>12</v>
      </c>
      <c r="C22" s="105" t="e">
        <f>VLOOKUP(Table257519913140106110151155170178204245[[#This Row],[PEG]],Table1016[#All],2,FALSE)</f>
        <v>#N/A</v>
      </c>
      <c r="D22" s="113"/>
      <c r="E22" s="122" t="e">
        <f>VLOOKUP(Table257519913140106110151155170178204245[[#This Row],[PEG]],Table1016[#All],3,FALSE)</f>
        <v>#N/A</v>
      </c>
    </row>
    <row r="23" spans="1:5">
      <c r="A23" s="114">
        <v>16</v>
      </c>
      <c r="B23" s="110" t="s">
        <v>115</v>
      </c>
      <c r="C23" s="105" t="e">
        <f>VLOOKUP(Table257519913140106110151155170178204245[[#This Row],[PEG]],Table1016[#All],2,FALSE)</f>
        <v>#N/A</v>
      </c>
      <c r="D23" s="113"/>
      <c r="E23" s="122" t="e">
        <f>VLOOKUP(Table257519913140106110151155170178204245[[#This Row],[PEG]],Table1016[#All],3,FALSE)</f>
        <v>#N/A</v>
      </c>
    </row>
    <row r="24" spans="1:5">
      <c r="A24" s="114">
        <v>17</v>
      </c>
      <c r="B24" s="110" t="s">
        <v>114</v>
      </c>
      <c r="C24" s="105" t="e">
        <f>VLOOKUP(Table257519913140106110151155170178204245[[#This Row],[PEG]],Table1016[#All],2,FALSE)</f>
        <v>#N/A</v>
      </c>
      <c r="D24" s="113"/>
      <c r="E24" s="122" t="e">
        <f>VLOOKUP(Table257519913140106110151155170178204245[[#This Row],[PEG]],Table1016[#All],3,FALSE)</f>
        <v>#N/A</v>
      </c>
    </row>
    <row r="25" spans="1:5">
      <c r="A25" s="114">
        <v>18</v>
      </c>
      <c r="B25" s="110" t="s">
        <v>12</v>
      </c>
      <c r="C25" s="105" t="e">
        <f>VLOOKUP(Table257519913140106110151155170178204245[[#This Row],[PEG]],Table1016[#All],2,FALSE)</f>
        <v>#N/A</v>
      </c>
      <c r="D25" s="113"/>
      <c r="E25" s="122" t="e">
        <f>VLOOKUP(Table257519913140106110151155170178204245[[#This Row],[PEG]],Table1016[#All],3,FALSE)</f>
        <v>#N/A</v>
      </c>
    </row>
    <row r="26" spans="1:5">
      <c r="A26" s="114">
        <v>19</v>
      </c>
      <c r="B26" s="110" t="s">
        <v>12</v>
      </c>
      <c r="C26" s="105" t="e">
        <f>VLOOKUP(Table257519913140106110151155170178204245[[#This Row],[PEG]],Table1016[#All],2,FALSE)</f>
        <v>#N/A</v>
      </c>
      <c r="D26" s="113"/>
      <c r="E26" s="122" t="e">
        <f>VLOOKUP(Table257519913140106110151155170178204245[[#This Row],[PEG]],Table1016[#All],3,FALSE)</f>
        <v>#N/A</v>
      </c>
    </row>
    <row r="27" spans="1:5">
      <c r="A27" s="114">
        <v>20</v>
      </c>
      <c r="B27" s="110" t="s">
        <v>115</v>
      </c>
      <c r="C27" s="105" t="e">
        <f>VLOOKUP(Table257519913140106110151155170178204245[[#This Row],[PEG]],Table1016[#All],2,FALSE)</f>
        <v>#N/A</v>
      </c>
      <c r="D27" s="113"/>
      <c r="E27" s="122" t="e">
        <f>VLOOKUP(Table257519913140106110151155170178204245[[#This Row],[PEG]],Table1016[#All],3,FALSE)</f>
        <v>#N/A</v>
      </c>
    </row>
    <row r="28" spans="1:5">
      <c r="A28" s="114">
        <v>21</v>
      </c>
      <c r="B28" s="110" t="s">
        <v>114</v>
      </c>
      <c r="C28" s="105" t="e">
        <f>VLOOKUP(Table257519913140106110151155170178204245[[#This Row],[PEG]],Table1016[#All],2,FALSE)</f>
        <v>#N/A</v>
      </c>
      <c r="D28" s="113"/>
      <c r="E28" s="122" t="e">
        <f>VLOOKUP(Table257519913140106110151155170178204245[[#This Row],[PEG]],Table1016[#All],3,FALSE)</f>
        <v>#N/A</v>
      </c>
    </row>
    <row r="29" spans="1:5">
      <c r="A29" s="114">
        <v>22</v>
      </c>
      <c r="B29" s="110" t="s">
        <v>12</v>
      </c>
      <c r="C29" s="105" t="e">
        <f>VLOOKUP(Table257519913140106110151155170178204245[[#This Row],[PEG]],Table1016[#All],2,FALSE)</f>
        <v>#N/A</v>
      </c>
      <c r="D29" s="113"/>
      <c r="E29" s="122" t="e">
        <f>VLOOKUP(Table257519913140106110151155170178204245[[#This Row],[PEG]],Table1016[#All],3,FALSE)</f>
        <v>#N/A</v>
      </c>
    </row>
    <row r="30" spans="1:5">
      <c r="A30" s="114">
        <v>23</v>
      </c>
      <c r="B30" s="110" t="s">
        <v>12</v>
      </c>
      <c r="C30" s="105" t="e">
        <f>VLOOKUP(Table257519913140106110151155170178204245[[#This Row],[PEG]],Table1016[#All],2,FALSE)</f>
        <v>#N/A</v>
      </c>
      <c r="D30" s="113"/>
      <c r="E30" s="122" t="e">
        <f>VLOOKUP(Table257519913140106110151155170178204245[[#This Row],[PEG]],Table1016[#All],3,FALSE)</f>
        <v>#N/A</v>
      </c>
    </row>
    <row r="31" spans="1:5">
      <c r="A31" s="114">
        <v>24</v>
      </c>
      <c r="B31" s="110" t="s">
        <v>115</v>
      </c>
      <c r="C31" s="105" t="e">
        <f>VLOOKUP(Table257519913140106110151155170178204245[[#This Row],[PEG]],Table1016[#All],2,FALSE)</f>
        <v>#N/A</v>
      </c>
      <c r="D31" s="113"/>
      <c r="E31" s="122" t="e">
        <f>VLOOKUP(Table257519913140106110151155170178204245[[#This Row],[PEG]],Table1016[#All],3,FALSE)</f>
        <v>#N/A</v>
      </c>
    </row>
    <row r="32" spans="1:5">
      <c r="A32" s="114">
        <v>25</v>
      </c>
      <c r="B32" s="110" t="s">
        <v>115</v>
      </c>
      <c r="C32" s="105" t="e">
        <f>VLOOKUP(Table257519913140106110151155170178204245[[#This Row],[PEG]],Table1016[#All],2,FALSE)</f>
        <v>#N/A</v>
      </c>
      <c r="D32" s="113"/>
      <c r="E32" s="122" t="e">
        <f>VLOOKUP(Table257519913140106110151155170178204245[[#This Row],[PEG]],Table1016[#All],3,FALSE)</f>
        <v>#N/A</v>
      </c>
    </row>
    <row r="33" spans="1:5">
      <c r="A33" s="114">
        <v>26</v>
      </c>
      <c r="B33" s="110" t="s">
        <v>124</v>
      </c>
      <c r="C33" s="105" t="e">
        <f>VLOOKUP(Table257519913140106110151155170178204245[[#This Row],[PEG]],Table1016[#All],2,FALSE)</f>
        <v>#N/A</v>
      </c>
      <c r="D33" s="113"/>
      <c r="E33" s="122" t="e">
        <f>VLOOKUP(Table257519913140106110151155170178204245[[#This Row],[PEG]],Table1016[#All],3,FALSE)</f>
        <v>#N/A</v>
      </c>
    </row>
    <row r="34" spans="1:5">
      <c r="A34" s="114">
        <v>27</v>
      </c>
      <c r="B34" s="110" t="s">
        <v>115</v>
      </c>
      <c r="C34" s="105" t="e">
        <f>VLOOKUP(Table257519913140106110151155170178204245[[#This Row],[PEG]],Table1016[#All],2,FALSE)</f>
        <v>#N/A</v>
      </c>
      <c r="D34" s="113"/>
      <c r="E34" s="122" t="e">
        <f>VLOOKUP(Table257519913140106110151155170178204245[[#This Row],[PEG]],Table1016[#All],3,FALSE)</f>
        <v>#N/A</v>
      </c>
    </row>
    <row r="35" spans="1:5">
      <c r="A35" s="114">
        <v>28</v>
      </c>
      <c r="B35" s="110" t="s">
        <v>124</v>
      </c>
      <c r="C35" s="105" t="e">
        <f>VLOOKUP(Table257519913140106110151155170178204245[[#This Row],[PEG]],Table1016[#All],2,FALSE)</f>
        <v>#N/A</v>
      </c>
      <c r="D35" s="113"/>
      <c r="E35" s="122" t="e">
        <f>VLOOKUP(Table257519913140106110151155170178204245[[#This Row],[PEG]],Table1016[#All],3,FALSE)</f>
        <v>#N/A</v>
      </c>
    </row>
    <row r="36" spans="1:5">
      <c r="A36" s="114">
        <v>29</v>
      </c>
      <c r="B36" s="110" t="s">
        <v>115</v>
      </c>
      <c r="C36" s="105" t="e">
        <f>VLOOKUP(Table257519913140106110151155170178204245[[#This Row],[PEG]],Table1016[#All],2,FALSE)</f>
        <v>#N/A</v>
      </c>
      <c r="D36" s="113"/>
      <c r="E36" s="122" t="e">
        <f>VLOOKUP(Table257519913140106110151155170178204245[[#This Row],[PEG]],Table1016[#All],3,FALSE)</f>
        <v>#N/A</v>
      </c>
    </row>
    <row r="37" spans="1:5">
      <c r="A37" s="114">
        <v>30</v>
      </c>
      <c r="B37" s="110" t="s">
        <v>12</v>
      </c>
      <c r="C37" s="105" t="e">
        <f>VLOOKUP(Table257519913140106110151155170178204245[[#This Row],[PEG]],Table1016[#All],2,FALSE)</f>
        <v>#N/A</v>
      </c>
      <c r="D37" s="113"/>
      <c r="E37" s="122" t="e">
        <f>VLOOKUP(Table257519913140106110151155170178204245[[#This Row],[PEG]],Table1016[#All],3,FALSE)</f>
        <v>#N/A</v>
      </c>
    </row>
    <row r="38" spans="1:5">
      <c r="A38" s="114">
        <v>31</v>
      </c>
      <c r="B38" s="110" t="s">
        <v>12</v>
      </c>
      <c r="C38" s="105" t="e">
        <f>VLOOKUP(Table257519913140106110151155170178204245[[#This Row],[PEG]],Table1016[#All],2,FALSE)</f>
        <v>#N/A</v>
      </c>
      <c r="D38" s="113"/>
      <c r="E38" s="122" t="e">
        <f>VLOOKUP(Table257519913140106110151155170178204245[[#This Row],[PEG]],Table1016[#All],3,FALSE)</f>
        <v>#N/A</v>
      </c>
    </row>
    <row r="39" spans="1:5">
      <c r="A39" s="114">
        <v>32</v>
      </c>
      <c r="B39" s="110" t="s">
        <v>12</v>
      </c>
      <c r="C39" s="105" t="e">
        <f>VLOOKUP(Table257519913140106110151155170178204245[[#This Row],[PEG]],Table1016[#All],2,FALSE)</f>
        <v>#N/A</v>
      </c>
      <c r="D39" s="113"/>
      <c r="E39" s="122" t="e">
        <f>VLOOKUP(Table257519913140106110151155170178204245[[#This Row],[PEG]],Table1016[#All],3,FALSE)</f>
        <v>#N/A</v>
      </c>
    </row>
    <row r="40" spans="1:5">
      <c r="A40" s="114">
        <v>33</v>
      </c>
      <c r="B40" s="110" t="s">
        <v>12</v>
      </c>
      <c r="C40" s="105" t="e">
        <f>VLOOKUP(Table257519913140106110151155170178204245[[#This Row],[PEG]],Table1016[#All],2,FALSE)</f>
        <v>#N/A</v>
      </c>
      <c r="D40" s="113"/>
      <c r="E40" s="122" t="e">
        <f>VLOOKUP(Table257519913140106110151155170178204245[[#This Row],[PEG]],Table1016[#All],3,FALSE)</f>
        <v>#N/A</v>
      </c>
    </row>
    <row r="41" spans="1:5">
      <c r="A41" s="114">
        <v>34</v>
      </c>
      <c r="B41" s="110" t="s">
        <v>115</v>
      </c>
      <c r="C41" s="105" t="e">
        <f>VLOOKUP(Table257519913140106110151155170178204245[[#This Row],[PEG]],Table1016[#All],2,FALSE)</f>
        <v>#N/A</v>
      </c>
      <c r="D41" s="113"/>
      <c r="E41" s="122" t="e">
        <f>VLOOKUP(Table257519913140106110151155170178204245[[#This Row],[PEG]],Table1016[#All],3,FALSE)</f>
        <v>#N/A</v>
      </c>
    </row>
    <row r="42" spans="1:5">
      <c r="A42" s="114">
        <v>35</v>
      </c>
      <c r="B42" s="110" t="s">
        <v>12</v>
      </c>
      <c r="C42" s="105" t="e">
        <f>VLOOKUP(Table257519913140106110151155170178204245[[#This Row],[PEG]],Table1016[#All],2,FALSE)</f>
        <v>#N/A</v>
      </c>
      <c r="D42" s="111"/>
      <c r="E42" s="122" t="e">
        <f>VLOOKUP(Table257519913140106110151155170178204245[[#This Row],[PEG]],Table1016[#All],3,FALSE)</f>
        <v>#N/A</v>
      </c>
    </row>
    <row r="43" spans="1:5">
      <c r="A43" s="114">
        <v>36</v>
      </c>
      <c r="B43" s="110" t="s">
        <v>115</v>
      </c>
      <c r="C43" s="105" t="e">
        <f>VLOOKUP(Table257519913140106110151155170178204245[[#This Row],[PEG]],Table1016[#All],2,FALSE)</f>
        <v>#N/A</v>
      </c>
      <c r="D43" s="111"/>
      <c r="E43" s="122" t="e">
        <f>VLOOKUP(Table257519913140106110151155170178204245[[#This Row],[PEG]],Table1016[#All],3,FALSE)</f>
        <v>#N/A</v>
      </c>
    </row>
    <row r="44" spans="1:5">
      <c r="A44" s="114">
        <v>37</v>
      </c>
      <c r="B44" s="110" t="s">
        <v>13</v>
      </c>
      <c r="C44" s="17" t="s">
        <v>13</v>
      </c>
      <c r="D44" s="111"/>
      <c r="E44" s="31"/>
    </row>
  </sheetData>
  <mergeCells count="1">
    <mergeCell ref="A1:B1"/>
  </mergeCells>
  <conditionalFormatting sqref="B8:B18">
    <cfRule type="containsText" dxfId="867" priority="1" operator="containsText" text="Hear">
      <formula>NOT(ISERROR(SEARCH("Hear",B8)))</formula>
    </cfRule>
  </conditionalFormatting>
  <conditionalFormatting sqref="B30">
    <cfRule type="containsText" dxfId="866" priority="4" operator="containsText" text="Hear">
      <formula>NOT(ISERROR(SEARCH("Hear",B30)))</formula>
    </cfRule>
  </conditionalFormatting>
  <conditionalFormatting sqref="B43:B44">
    <cfRule type="containsText" dxfId="865" priority="8" operator="containsText" text="Hear">
      <formula>NOT(ISERROR(SEARCH("Hear",B43)))</formula>
    </cfRule>
  </conditionalFormatting>
  <conditionalFormatting sqref="E44">
    <cfRule type="containsText" dxfId="864" priority="6" operator="containsText" text="WEB SERVICE">
      <formula>NOT(ISERROR(SEARCH("WEB SERVICE",E44)))</formula>
    </cfRule>
    <cfRule type="containsText" dxfId="863" priority="7" operator="containsText" text="DB">
      <formula>NOT(ISERROR(SEARCH("DB",E44)))</formula>
    </cfRule>
  </conditionalFormatting>
  <conditionalFormatting sqref="C44">
    <cfRule type="expression" dxfId="862" priority="9">
      <formula>$B44="Dial"</formula>
    </cfRule>
  </conditionalFormatting>
  <conditionalFormatting sqref="C44">
    <cfRule type="expression" dxfId="861" priority="3">
      <formula>$B44="Speak"</formula>
    </cfRule>
  </conditionalFormatting>
  <conditionalFormatting sqref="B19:B29 B31:B35 B42">
    <cfRule type="containsText" dxfId="860" priority="5" operator="containsText" text="Hear">
      <formula>NOT(ISERROR(SEARCH("Hear",B19)))</formula>
    </cfRule>
  </conditionalFormatting>
  <hyperlinks>
    <hyperlink ref="A1" location="'Test Case Overview'!A1" display="Return to Test Case Overview" xr:uid="{00000000-0004-0000-A8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0FE9C822-CBF9-4287-9ABD-F0A3FDA74D63}">
            <xm:f>'TC1'!$B8="HANGUP"</xm:f>
            <x14:dxf>
              <font>
                <b/>
                <i val="0"/>
              </font>
            </x14:dxf>
          </x14:cfRule>
          <xm:sqref>C8</xm:sqref>
        </x14:conditionalFormatting>
        <x14:conditionalFormatting xmlns:xm="http://schemas.microsoft.com/office/excel/2006/main">
          <x14:cfRule type="expression" priority="3321" id="{0FE9C822-CBF9-4287-9ABD-F0A3FDA74D63}">
            <xm:f>'TC1'!$B14="HANGUP"</xm:f>
            <x14:dxf>
              <font>
                <b/>
                <i val="0"/>
              </font>
            </x14:dxf>
          </x14:cfRule>
          <xm:sqref>C34:C43</xm:sqref>
        </x14:conditionalFormatting>
        <x14:conditionalFormatting xmlns:xm="http://schemas.microsoft.com/office/excel/2006/main">
          <x14:cfRule type="expression" priority="3322" id="{0FE9C822-CBF9-4287-9ABD-F0A3FDA74D63}">
            <xm:f>'TC1'!#REF!="HANGUP"</xm:f>
            <x14:dxf>
              <font>
                <b/>
                <i val="0"/>
              </font>
            </x14:dxf>
          </x14:cfRule>
          <xm:sqref>C13:C33</xm:sqref>
        </x14:conditionalFormatting>
        <x14:conditionalFormatting xmlns:xm="http://schemas.microsoft.com/office/excel/2006/main">
          <x14:cfRule type="expression" priority="4587" id="{0FE9C822-CBF9-4287-9ABD-F0A3FDA74D63}">
            <xm:f>'TC1'!$B10="HANGUP"</xm:f>
            <x14:dxf>
              <font>
                <b/>
                <i val="0"/>
              </font>
            </x14:dxf>
          </x14:cfRule>
          <xm:sqref>C9:C12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E43"/>
  <sheetViews>
    <sheetView zoomScaleNormal="100" workbookViewId="0">
      <selection activeCell="C14" sqref="C14"/>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TC16</v>
      </c>
    </row>
    <row r="3" spans="1:5">
      <c r="A3" s="100" t="s">
        <v>19</v>
      </c>
      <c r="B3" s="108">
        <f ca="1">VLOOKUP(B2,Table1[#All],2,FALSE)</f>
        <v>0</v>
      </c>
    </row>
    <row r="4" spans="1:5" ht="45">
      <c r="A4" s="109" t="s">
        <v>20</v>
      </c>
      <c r="B4" s="95" t="str">
        <f ca="1">VLOOKUP(B2,Table1[#All],4,FALSE)</f>
        <v>svcArea=titleSvcs, serviceType=chgOwnership, Not in progress or complete &lt;90days. Deeded</v>
      </c>
    </row>
    <row r="5" spans="1:5" ht="45">
      <c r="A5" s="100" t="s">
        <v>6</v>
      </c>
      <c r="B5" s="89" t="str">
        <f ca="1">VLOOKUP(B2,Table1[#All],3,FALSE)</f>
        <v>CallStart Main Menu /Title /Ownership changes/ID Auth=True/ repeat/ Rep at ChangeMenu</v>
      </c>
    </row>
    <row r="7" spans="1:5" ht="15.75">
      <c r="A7" s="96" t="s">
        <v>7</v>
      </c>
      <c r="B7" s="97" t="s">
        <v>8</v>
      </c>
      <c r="C7" s="98" t="s">
        <v>9</v>
      </c>
      <c r="D7" s="98" t="s">
        <v>14</v>
      </c>
      <c r="E7" s="99" t="s">
        <v>10</v>
      </c>
    </row>
    <row r="8" spans="1:5" s="93" customFormat="1">
      <c r="A8" s="114">
        <v>1</v>
      </c>
      <c r="B8" s="110" t="s">
        <v>114</v>
      </c>
      <c r="C8" s="124" t="s">
        <v>125</v>
      </c>
      <c r="D8" s="125"/>
      <c r="E8" s="122" t="s">
        <v>11</v>
      </c>
    </row>
    <row r="9" spans="1:5" s="93" customFormat="1">
      <c r="A9" s="114">
        <v>2</v>
      </c>
      <c r="B9" s="110" t="s">
        <v>115</v>
      </c>
      <c r="C9" s="105" t="str">
        <f>VLOOKUP(Table2575525269101343[[#This Row],[PEG]],Table1016[#All],2,FALSE)</f>
        <v>CallID.wav Call ID &lt;CallID&gt;</v>
      </c>
      <c r="D9" s="152" t="s">
        <v>477</v>
      </c>
      <c r="E9" s="122" t="str">
        <f>VLOOKUP(Table2575525269101343[[#This Row],[PEG]],Table1016[#All],3,FALSE)</f>
        <v>TEST</v>
      </c>
    </row>
    <row r="10" spans="1:5" s="93" customFormat="1" ht="30">
      <c r="A10" s="114">
        <v>3</v>
      </c>
      <c r="B10" s="110" t="s">
        <v>115</v>
      </c>
      <c r="C10" s="105" t="str">
        <f>VLOOKUP(Table2575525269101343[[#This Row],[PEG]],Table1016[#All],2,FALSE)</f>
        <v>0100.wav Thank you for calling Shell vacations Club, we are glad you called. Please have your account number available for faster service. [To continue in Spanish, press 9]</v>
      </c>
      <c r="D10" s="152">
        <v>100</v>
      </c>
      <c r="E10" s="122" t="str">
        <f>VLOOKUP(Table2575525269101343[[#This Row],[PEG]],Table1016[#All],3,FALSE)</f>
        <v>PLAY PROMPT</v>
      </c>
    </row>
    <row r="11" spans="1:5" s="93" customFormat="1" ht="30">
      <c r="A11" s="114">
        <v>4</v>
      </c>
      <c r="B11" s="110" t="s">
        <v>115</v>
      </c>
      <c r="C11" s="105" t="str">
        <f>VLOOKUP(Table2575525269101343[[#This Row],[PEG]],Table1016[#All],2,FALSE)</f>
        <v>0110-1.wav Which would you like? You can say... reservations, payments &amp; statements, title &amp; ownership changes, or more options.</v>
      </c>
      <c r="D11" s="152">
        <v>110</v>
      </c>
      <c r="E11" s="122" t="str">
        <f>VLOOKUP(Table2575525269101343[[#This Row],[PEG]],Table1016[#All],3,FALSE)</f>
        <v>MENU PROMPT</v>
      </c>
    </row>
    <row r="12" spans="1:5" s="93" customFormat="1">
      <c r="A12" s="114">
        <v>5</v>
      </c>
      <c r="B12" s="110" t="s">
        <v>124</v>
      </c>
      <c r="C12" s="105" t="s">
        <v>2</v>
      </c>
      <c r="D12" s="152"/>
      <c r="E12" s="122" t="e">
        <f>VLOOKUP(Table2575525269101343[[#This Row],[PEG]],Table1016[#All],3,FALSE)</f>
        <v>#N/A</v>
      </c>
    </row>
    <row r="13" spans="1:5" s="93" customFormat="1" ht="30">
      <c r="A13" s="114">
        <v>6</v>
      </c>
      <c r="B13" s="110" t="s">
        <v>115</v>
      </c>
      <c r="C13" s="105" t="str">
        <f>VLOOKUP(Table2575525269101343[[#This Row],[PEG]],Table1016[#All],2,FALSE)</f>
        <v>0300-1.wav You can say ownership changes, check status, make a payment, or help me with something else. Which would you like?</v>
      </c>
      <c r="D13" s="152">
        <v>300</v>
      </c>
      <c r="E13" s="122" t="str">
        <f>VLOOKUP(Table2575525269101343[[#This Row],[PEG]],Table1016[#All],3,FALSE)</f>
        <v>MENU PROMPT</v>
      </c>
    </row>
    <row r="14" spans="1:5" s="93" customFormat="1">
      <c r="A14" s="114">
        <v>7</v>
      </c>
      <c r="B14" s="110" t="s">
        <v>124</v>
      </c>
      <c r="C14" s="105" t="s">
        <v>506</v>
      </c>
      <c r="D14" s="125"/>
      <c r="E14" s="122" t="e">
        <f>VLOOKUP(Table2575525269101343[[#This Row],[PEG]],Table1016[#All],3,FALSE)</f>
        <v>#N/A</v>
      </c>
    </row>
    <row r="15" spans="1:5">
      <c r="A15" s="114">
        <v>8</v>
      </c>
      <c r="B15" s="110" t="s">
        <v>115</v>
      </c>
      <c r="C15" s="105" t="str">
        <f>VLOOKUP(Table2575525269101343[[#This Row],[PEG]],Table1016[#All],2,FALSE)</f>
        <v>0200-1.wav To get started, what is your account number?</v>
      </c>
      <c r="D15" s="153">
        <v>200</v>
      </c>
      <c r="E15" s="122" t="str">
        <f>VLOOKUP(Table2575525269101343[[#This Row],[PEG]],Table1016[#All],3,FALSE)</f>
        <v>MENU PROMPT</v>
      </c>
    </row>
    <row r="16" spans="1:5">
      <c r="A16" s="114">
        <v>9</v>
      </c>
      <c r="B16" s="110" t="s">
        <v>114</v>
      </c>
      <c r="C16" s="105" t="s">
        <v>515</v>
      </c>
      <c r="D16" s="112"/>
      <c r="E16" s="122" t="e">
        <f>VLOOKUP(Table2575525269101343[[#This Row],[PEG]],Table1016[#All],3,FALSE)</f>
        <v>#N/A</v>
      </c>
    </row>
    <row r="17" spans="1:5">
      <c r="A17" s="114">
        <v>10</v>
      </c>
      <c r="B17" s="110" t="s">
        <v>115</v>
      </c>
      <c r="C17" s="127" t="str">
        <f>VLOOKUP(Table2575525269101343[[#This Row],[PEG]],Table1016[#All],2,FALSE)</f>
        <v>0210-1.wav And the date of birth for the primary owner?</v>
      </c>
      <c r="D17" s="154">
        <v>210</v>
      </c>
      <c r="E17" s="122" t="str">
        <f>VLOOKUP(Table2575525269101343[[#This Row],[PEG]],Table1016[#All],3,FALSE)</f>
        <v>MENU PROMPT</v>
      </c>
    </row>
    <row r="18" spans="1:5">
      <c r="A18" s="114">
        <v>11</v>
      </c>
      <c r="B18" s="110" t="s">
        <v>124</v>
      </c>
      <c r="C18" s="105" t="s">
        <v>514</v>
      </c>
      <c r="D18" s="113"/>
      <c r="E18" s="122" t="e">
        <f>VLOOKUP(Table2575525269101343[[#This Row],[PEG]],Table1016[#All],3,FALSE)</f>
        <v>#N/A</v>
      </c>
    </row>
    <row r="19" spans="1:5" ht="45">
      <c r="A19" s="114">
        <v>12</v>
      </c>
      <c r="B19" s="110" t="s">
        <v>115</v>
      </c>
      <c r="C19" s="148" t="str">
        <f>VLOOKUP(Table2575525269101343[[#This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54">
        <v>320</v>
      </c>
      <c r="E19" s="122" t="str">
        <f>VLOOKUP(Table2575525269101343[[#This Row],[PEG]],Table1016[#All],3,FALSE)</f>
        <v>MENU PROMPT</v>
      </c>
    </row>
    <row r="20" spans="1:5" s="93" customFormat="1">
      <c r="A20" s="114">
        <v>13</v>
      </c>
      <c r="B20" s="110" t="s">
        <v>124</v>
      </c>
      <c r="C20" s="105" t="s">
        <v>516</v>
      </c>
      <c r="D20" s="113"/>
      <c r="E20" s="122" t="e">
        <f>VLOOKUP(Table2575525269101343[[#This Row],[PEG]],Table1016[#All],3,FALSE)</f>
        <v>#N/A</v>
      </c>
    </row>
    <row r="21" spans="1:5" s="93" customFormat="1" ht="45">
      <c r="A21" s="114">
        <v>14</v>
      </c>
      <c r="B21" s="110" t="s">
        <v>12</v>
      </c>
      <c r="C21" s="105" t="str">
        <f>VLOOKUP(Table2575525269101343[[#This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21" s="113">
        <v>320</v>
      </c>
      <c r="E21" s="122" t="str">
        <f>VLOOKUP(Table2575525269101343[[#This Row],[PEG]],Table1016[#All],3,FALSE)</f>
        <v>MENU PROMPT</v>
      </c>
    </row>
    <row r="22" spans="1:5" s="93" customFormat="1">
      <c r="A22" s="114">
        <v>15</v>
      </c>
      <c r="B22" s="110" t="s">
        <v>124</v>
      </c>
      <c r="C22" s="105" t="s">
        <v>517</v>
      </c>
      <c r="D22" s="113"/>
      <c r="E22" s="122" t="e">
        <f>VLOOKUP(Table2575525269101343[[#This Row],[PEG]],Table1016[#All],3,FALSE)</f>
        <v>#N/A</v>
      </c>
    </row>
    <row r="23" spans="1:5" s="93" customFormat="1">
      <c r="A23" s="114">
        <v>16</v>
      </c>
      <c r="B23" s="110" t="s">
        <v>115</v>
      </c>
      <c r="C23" s="105" t="str">
        <f>VLOOKUP(Table2575525269101343[[#This Row],[PEG]],Table1016[#All],2,FALSE)</f>
        <v>0900.wav Please hold, while I connect you to a customer service representative.</v>
      </c>
      <c r="D23" s="113">
        <v>900</v>
      </c>
      <c r="E23" s="122" t="str">
        <f>VLOOKUP(Table2575525269101343[[#This Row],[PEG]],Table1016[#All],3,FALSE)</f>
        <v>PLAY PROMPT</v>
      </c>
    </row>
    <row r="24" spans="1:5">
      <c r="A24" s="114">
        <v>17</v>
      </c>
      <c r="B24" s="110" t="s">
        <v>115</v>
      </c>
      <c r="C24" s="105" t="str">
        <f>VLOOKUP(Table2575525269101343[[#This Row],[PEG]],Table1016[#All],2,FALSE)</f>
        <v>XferNbr.wav Transfer Number &lt;TransferNbr&gt;</v>
      </c>
      <c r="D24" s="113" t="s">
        <v>480</v>
      </c>
      <c r="E24" s="122" t="str">
        <f>VLOOKUP(Table2575525269101343[[#This Row],[PEG]],Table1016[#All],3,FALSE)</f>
        <v>TEST</v>
      </c>
    </row>
    <row r="25" spans="1:5">
      <c r="A25" s="114">
        <v>18</v>
      </c>
      <c r="B25" s="110" t="s">
        <v>13</v>
      </c>
      <c r="C25" s="105" t="s">
        <v>13</v>
      </c>
      <c r="D25" s="111"/>
      <c r="E25" s="31"/>
    </row>
    <row r="26" spans="1:5">
      <c r="C26" s="25"/>
      <c r="D26" s="107" t="s">
        <v>0</v>
      </c>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5"/>
    </row>
    <row r="39" spans="3:3">
      <c r="C39" s="25"/>
    </row>
    <row r="40" spans="3:3">
      <c r="C40" s="25"/>
    </row>
    <row r="41" spans="3:3">
      <c r="C41" s="26"/>
    </row>
    <row r="42" spans="3:3">
      <c r="C42" s="26"/>
    </row>
    <row r="43" spans="3:3">
      <c r="C43" s="26"/>
    </row>
  </sheetData>
  <mergeCells count="1">
    <mergeCell ref="A1:B1"/>
  </mergeCells>
  <conditionalFormatting sqref="E25">
    <cfRule type="containsText" dxfId="6245" priority="31" operator="containsText" text="WEB SERVICE">
      <formula>NOT(ISERROR(SEARCH("WEB SERVICE",E25)))</formula>
    </cfRule>
    <cfRule type="containsText" dxfId="6244" priority="32" operator="containsText" text="DB">
      <formula>NOT(ISERROR(SEARCH("DB",E25)))</formula>
    </cfRule>
  </conditionalFormatting>
  <conditionalFormatting sqref="C20:C9982">
    <cfRule type="expression" dxfId="6243" priority="34">
      <formula>$B20="Dial"</formula>
    </cfRule>
    <cfRule type="expression" dxfId="6242" priority="36">
      <formula>$B20="HANGUP"</formula>
    </cfRule>
  </conditionalFormatting>
  <conditionalFormatting sqref="C8 C19">
    <cfRule type="expression" dxfId="6241" priority="2">
      <formula>$B8="Dial"</formula>
    </cfRule>
    <cfRule type="expression" dxfId="6240" priority="3">
      <formula>$B8="HANGUP"</formula>
    </cfRule>
  </conditionalFormatting>
  <conditionalFormatting sqref="B8 B18:B25">
    <cfRule type="containsText" dxfId="6239" priority="6" operator="containsText" text="Hear">
      <formula>NOT(ISERROR(SEARCH("Hear",B8)))</formula>
    </cfRule>
  </conditionalFormatting>
  <conditionalFormatting sqref="C18 C9:C16">
    <cfRule type="expression" dxfId="6238" priority="7">
      <formula>$B9="Dial"</formula>
    </cfRule>
    <cfRule type="expression" dxfId="6237" priority="9">
      <formula>$B9="HANGUP"</formula>
    </cfRule>
  </conditionalFormatting>
  <conditionalFormatting sqref="C18 C9:C16 C20:C25">
    <cfRule type="expression" dxfId="6236" priority="8">
      <formula>$B9="Speak"</formula>
    </cfRule>
  </conditionalFormatting>
  <conditionalFormatting sqref="C17">
    <cfRule type="expression" dxfId="6235" priority="4">
      <formula>$B17="Dial"</formula>
    </cfRule>
    <cfRule type="expression" dxfId="6234" priority="5">
      <formula>$B17="HANGUP"</formula>
    </cfRule>
  </conditionalFormatting>
  <conditionalFormatting sqref="B9:B17">
    <cfRule type="containsText" dxfId="6233" priority="1" operator="containsText" text="Hear">
      <formula>NOT(ISERROR(SEARCH("Hear",B9)))</formula>
    </cfRule>
  </conditionalFormatting>
  <hyperlinks>
    <hyperlink ref="A1" location="'Test Case Overview'!A1" display="Return to Test Case Overview" xr:uid="{00000000-0004-0000-10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40" operator="containsText" text="WEB SERVICE" id="{DB752697-1C50-4CA0-B3EA-E0B65D9DF376}">
            <xm:f>NOT(ISERROR(SEARCH("WEB SERVICE",'TC1'!E10)))</xm:f>
            <x14:dxf>
              <font>
                <color rgb="FF9C0006"/>
              </font>
              <fill>
                <patternFill>
                  <bgColor rgb="FFFFC7CE"/>
                </patternFill>
              </fill>
            </x14:dxf>
          </x14:cfRule>
          <x14:cfRule type="containsText" priority="40" operator="containsText" text="DB" id="{54C2F875-2AD8-429C-A085-50AF9150015F}">
            <xm:f>NOT(ISERROR(SEARCH("DB",'TC1'!E10)))</xm:f>
            <x14:dxf>
              <font>
                <color rgb="FF006100"/>
              </font>
              <fill>
                <patternFill>
                  <bgColor rgb="FFC6EFCE"/>
                </patternFill>
              </fill>
            </x14:dxf>
          </x14:cfRule>
          <xm:sqref>E9:E12</xm:sqref>
        </x14:conditionalFormatting>
        <x14:conditionalFormatting xmlns:xm="http://schemas.microsoft.com/office/excel/2006/main">
          <x14:cfRule type="containsText" priority="764" operator="containsText" text="WEB SERVICE" id="{DB752697-1C50-4CA0-B3EA-E0B65D9DF376}">
            <xm:f>NOT(ISERROR(SEARCH("WEB SERVICE",'TC1'!#REF!)))</xm:f>
            <x14:dxf>
              <font>
                <color rgb="FF9C0006"/>
              </font>
              <fill>
                <patternFill>
                  <bgColor rgb="FFFFC7CE"/>
                </patternFill>
              </fill>
            </x14:dxf>
          </x14:cfRule>
          <x14:cfRule type="containsText" priority="765" operator="containsText" text="DB" id="{54C2F875-2AD8-429C-A085-50AF9150015F}">
            <xm:f>NOT(ISERROR(SEARCH("DB",'TC1'!#REF!)))</xm:f>
            <x14:dxf>
              <font>
                <color rgb="FF006100"/>
              </font>
              <fill>
                <patternFill>
                  <bgColor rgb="FFC6EFCE"/>
                </patternFill>
              </fill>
            </x14:dxf>
          </x14:cfRule>
          <xm:sqref>E13:E24</xm:sqref>
        </x14:conditionalFormatting>
      </x14:conditionalFormattings>
    </ext>
  </extLst>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900-000000000000}">
  <sheetPr codeName="Sheet171"/>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TC169</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VLOOKUP(Table257519913140106110151155170178204247[[#This Row],[PEG]],Table1016[#All],2,FALSE)</f>
        <v>#N/A</v>
      </c>
      <c r="D9" s="125"/>
      <c r="E9" s="122" t="e">
        <f>VLOOKUP(Table257519913140106110151155170178204247[[#This Row],[PEG]],Table1016[#All],3,FALSE)</f>
        <v>#N/A</v>
      </c>
    </row>
    <row r="10" spans="1:5">
      <c r="A10" s="114">
        <v>3</v>
      </c>
      <c r="B10" s="110" t="s">
        <v>115</v>
      </c>
      <c r="C10" s="105" t="e">
        <f>VLOOKUP(Table257519913140106110151155170178204247[[#This Row],[PEG]],Table1016[#All],2,FALSE)</f>
        <v>#N/A</v>
      </c>
      <c r="D10" s="125"/>
      <c r="E10" s="122" t="e">
        <f>VLOOKUP(Table257519913140106110151155170178204247[[#This Row],[PEG]],Table1016[#All],3,FALSE)</f>
        <v>#N/A</v>
      </c>
    </row>
    <row r="11" spans="1:5">
      <c r="A11" s="114">
        <v>4</v>
      </c>
      <c r="B11" s="110" t="s">
        <v>115</v>
      </c>
      <c r="C11" s="105" t="e">
        <f>VLOOKUP(Table257519913140106110151155170178204247[[#This Row],[PEG]],Table1016[#All],2,FALSE)</f>
        <v>#N/A</v>
      </c>
      <c r="D11" s="125"/>
      <c r="E11" s="122" t="e">
        <f>VLOOKUP(Table257519913140106110151155170178204247[[#This Row],[PEG]],Table1016[#All],3,FALSE)</f>
        <v>#N/A</v>
      </c>
    </row>
    <row r="12" spans="1:5">
      <c r="A12" s="114">
        <v>5</v>
      </c>
      <c r="B12" s="110" t="s">
        <v>114</v>
      </c>
      <c r="C12" s="105" t="e">
        <f>VLOOKUP(Table257519913140106110151155170178204247[[#This Row],[PEG]],Table1016[#All],2,FALSE)</f>
        <v>#N/A</v>
      </c>
      <c r="D12" s="125"/>
      <c r="E12" s="122" t="e">
        <f>VLOOKUP(Table257519913140106110151155170178204247[[#This Row],[PEG]],Table1016[#All],3,FALSE)</f>
        <v>#N/A</v>
      </c>
    </row>
    <row r="13" spans="1:5">
      <c r="A13" s="114">
        <v>6</v>
      </c>
      <c r="B13" s="110" t="s">
        <v>115</v>
      </c>
      <c r="C13" s="105" t="e">
        <f>VLOOKUP(Table257519913140106110151155170178204247[[#This Row],[PEG]],Table1016[#All],2,FALSE)</f>
        <v>#N/A</v>
      </c>
      <c r="D13" s="125"/>
      <c r="E13" s="122" t="e">
        <f>VLOOKUP(Table257519913140106110151155170178204247[[#This Row],[PEG]],Table1016[#All],3,FALSE)</f>
        <v>#N/A</v>
      </c>
    </row>
    <row r="14" spans="1:5">
      <c r="A14" s="114">
        <v>7</v>
      </c>
      <c r="B14" s="110" t="s">
        <v>114</v>
      </c>
      <c r="C14" s="105" t="e">
        <f>VLOOKUP(Table257519913140106110151155170178204247[[#This Row],[PEG]],Table1016[#All],2,FALSE)</f>
        <v>#N/A</v>
      </c>
      <c r="D14" s="125"/>
      <c r="E14" s="122" t="e">
        <f>VLOOKUP(Table257519913140106110151155170178204247[[#This Row],[PEG]],Table1016[#All],3,FALSE)</f>
        <v>#N/A</v>
      </c>
    </row>
    <row r="15" spans="1:5">
      <c r="A15" s="114">
        <v>8</v>
      </c>
      <c r="B15" s="110" t="s">
        <v>115</v>
      </c>
      <c r="C15" s="105" t="e">
        <f>VLOOKUP(Table257519913140106110151155170178204247[[#This Row],[PEG]],Table1016[#All],2,FALSE)</f>
        <v>#N/A</v>
      </c>
      <c r="D15" s="112"/>
      <c r="E15" s="122" t="e">
        <f>VLOOKUP(Table257519913140106110151155170178204247[[#This Row],[PEG]],Table1016[#All],3,FALSE)</f>
        <v>#N/A</v>
      </c>
    </row>
    <row r="16" spans="1:5">
      <c r="A16" s="114">
        <v>9</v>
      </c>
      <c r="B16" s="110" t="s">
        <v>12</v>
      </c>
      <c r="C16" s="105" t="e">
        <f>VLOOKUP(Table257519913140106110151155170178204247[[#This Row],[PEG]],Table1016[#All],2,FALSE)</f>
        <v>#N/A</v>
      </c>
      <c r="D16" s="112"/>
      <c r="E16" s="122" t="e">
        <f>VLOOKUP(Table257519913140106110151155170178204247[[#This Row],[PEG]],Table1016[#All],3,FALSE)</f>
        <v>#N/A</v>
      </c>
    </row>
    <row r="17" spans="1:5">
      <c r="A17" s="114">
        <v>10</v>
      </c>
      <c r="B17" s="110" t="s">
        <v>12</v>
      </c>
      <c r="C17" s="105" t="e">
        <f>VLOOKUP(Table257519913140106110151155170178204247[[#This Row],[PEG]],Table1016[#All],2,FALSE)</f>
        <v>#N/A</v>
      </c>
      <c r="D17" s="113"/>
      <c r="E17" s="122" t="e">
        <f>VLOOKUP(Table257519913140106110151155170178204247[[#This Row],[PEG]],Table1016[#All],3,FALSE)</f>
        <v>#N/A</v>
      </c>
    </row>
    <row r="18" spans="1:5">
      <c r="A18" s="114">
        <v>11</v>
      </c>
      <c r="B18" s="110" t="s">
        <v>115</v>
      </c>
      <c r="C18" s="105" t="e">
        <f>VLOOKUP(Table257519913140106110151155170178204247[[#This Row],[PEG]],Table1016[#All],2,FALSE)</f>
        <v>#N/A</v>
      </c>
      <c r="D18" s="113"/>
      <c r="E18" s="122" t="e">
        <f>VLOOKUP(Table257519913140106110151155170178204247[[#This Row],[PEG]],Table1016[#All],3,FALSE)</f>
        <v>#N/A</v>
      </c>
    </row>
    <row r="19" spans="1:5">
      <c r="A19" s="114">
        <v>12</v>
      </c>
      <c r="B19" s="110" t="s">
        <v>115</v>
      </c>
      <c r="C19" s="105" t="e">
        <f>VLOOKUP(Table257519913140106110151155170178204247[[#This Row],[PEG]],Table1016[#All],2,FALSE)</f>
        <v>#N/A</v>
      </c>
      <c r="D19" s="113"/>
      <c r="E19" s="122" t="e">
        <f>VLOOKUP(Table257519913140106110151155170178204247[[#This Row],[PEG]],Table1016[#All],3,FALSE)</f>
        <v>#N/A</v>
      </c>
    </row>
    <row r="20" spans="1:5">
      <c r="A20" s="114">
        <v>13</v>
      </c>
      <c r="B20" s="110" t="s">
        <v>114</v>
      </c>
      <c r="C20" s="105" t="e">
        <f>VLOOKUP(Table257519913140106110151155170178204247[[#This Row],[PEG]],Table1016[#All],2,FALSE)</f>
        <v>#N/A</v>
      </c>
      <c r="D20" s="113"/>
      <c r="E20" s="122" t="e">
        <f>VLOOKUP(Table257519913140106110151155170178204247[[#This Row],[PEG]],Table1016[#All],3,FALSE)</f>
        <v>#N/A</v>
      </c>
    </row>
    <row r="21" spans="1:5">
      <c r="A21" s="114">
        <v>14</v>
      </c>
      <c r="B21" s="110" t="s">
        <v>12</v>
      </c>
      <c r="C21" s="105" t="e">
        <f>VLOOKUP(Table257519913140106110151155170178204247[[#This Row],[PEG]],Table1016[#All],2,FALSE)</f>
        <v>#N/A</v>
      </c>
      <c r="D21" s="113"/>
      <c r="E21" s="122" t="e">
        <f>VLOOKUP(Table257519913140106110151155170178204247[[#This Row],[PEG]],Table1016[#All],3,FALSE)</f>
        <v>#N/A</v>
      </c>
    </row>
    <row r="22" spans="1:5">
      <c r="A22" s="114">
        <v>15</v>
      </c>
      <c r="B22" s="110" t="s">
        <v>12</v>
      </c>
      <c r="C22" s="105" t="e">
        <f>VLOOKUP(Table257519913140106110151155170178204247[[#This Row],[PEG]],Table1016[#All],2,FALSE)</f>
        <v>#N/A</v>
      </c>
      <c r="D22" s="113"/>
      <c r="E22" s="122" t="e">
        <f>VLOOKUP(Table257519913140106110151155170178204247[[#This Row],[PEG]],Table1016[#All],3,FALSE)</f>
        <v>#N/A</v>
      </c>
    </row>
    <row r="23" spans="1:5">
      <c r="A23" s="114">
        <v>16</v>
      </c>
      <c r="B23" s="110" t="s">
        <v>115</v>
      </c>
      <c r="C23" s="105" t="e">
        <f>VLOOKUP(Table257519913140106110151155170178204247[[#This Row],[PEG]],Table1016[#All],2,FALSE)</f>
        <v>#N/A</v>
      </c>
      <c r="D23" s="113"/>
      <c r="E23" s="122" t="e">
        <f>VLOOKUP(Table257519913140106110151155170178204247[[#This Row],[PEG]],Table1016[#All],3,FALSE)</f>
        <v>#N/A</v>
      </c>
    </row>
    <row r="24" spans="1:5">
      <c r="A24" s="114">
        <v>17</v>
      </c>
      <c r="B24" s="110" t="s">
        <v>114</v>
      </c>
      <c r="C24" s="105" t="e">
        <f>VLOOKUP(Table257519913140106110151155170178204247[[#This Row],[PEG]],Table1016[#All],2,FALSE)</f>
        <v>#N/A</v>
      </c>
      <c r="D24" s="113"/>
      <c r="E24" s="122" t="e">
        <f>VLOOKUP(Table257519913140106110151155170178204247[[#This Row],[PEG]],Table1016[#All],3,FALSE)</f>
        <v>#N/A</v>
      </c>
    </row>
    <row r="25" spans="1:5">
      <c r="A25" s="114">
        <v>18</v>
      </c>
      <c r="B25" s="110" t="s">
        <v>12</v>
      </c>
      <c r="C25" s="105" t="e">
        <f>VLOOKUP(Table257519913140106110151155170178204247[[#This Row],[PEG]],Table1016[#All],2,FALSE)</f>
        <v>#N/A</v>
      </c>
      <c r="D25" s="113"/>
      <c r="E25" s="122" t="e">
        <f>VLOOKUP(Table257519913140106110151155170178204247[[#This Row],[PEG]],Table1016[#All],3,FALSE)</f>
        <v>#N/A</v>
      </c>
    </row>
    <row r="26" spans="1:5">
      <c r="A26" s="114">
        <v>19</v>
      </c>
      <c r="B26" s="110" t="s">
        <v>12</v>
      </c>
      <c r="C26" s="105" t="e">
        <f>VLOOKUP(Table257519913140106110151155170178204247[[#This Row],[PEG]],Table1016[#All],2,FALSE)</f>
        <v>#N/A</v>
      </c>
      <c r="D26" s="113"/>
      <c r="E26" s="122" t="e">
        <f>VLOOKUP(Table257519913140106110151155170178204247[[#This Row],[PEG]],Table1016[#All],3,FALSE)</f>
        <v>#N/A</v>
      </c>
    </row>
    <row r="27" spans="1:5">
      <c r="A27" s="114">
        <v>20</v>
      </c>
      <c r="B27" s="110" t="s">
        <v>115</v>
      </c>
      <c r="C27" s="105" t="e">
        <f>VLOOKUP(Table257519913140106110151155170178204247[[#This Row],[PEG]],Table1016[#All],2,FALSE)</f>
        <v>#N/A</v>
      </c>
      <c r="D27" s="113"/>
      <c r="E27" s="122" t="e">
        <f>VLOOKUP(Table257519913140106110151155170178204247[[#This Row],[PEG]],Table1016[#All],3,FALSE)</f>
        <v>#N/A</v>
      </c>
    </row>
    <row r="28" spans="1:5">
      <c r="A28" s="114">
        <v>21</v>
      </c>
      <c r="B28" s="110" t="s">
        <v>114</v>
      </c>
      <c r="C28" s="105" t="e">
        <f>VLOOKUP(Table257519913140106110151155170178204247[[#This Row],[PEG]],Table1016[#All],2,FALSE)</f>
        <v>#N/A</v>
      </c>
      <c r="D28" s="113"/>
      <c r="E28" s="122" t="e">
        <f>VLOOKUP(Table257519913140106110151155170178204247[[#This Row],[PEG]],Table1016[#All],3,FALSE)</f>
        <v>#N/A</v>
      </c>
    </row>
    <row r="29" spans="1:5">
      <c r="A29" s="114">
        <v>22</v>
      </c>
      <c r="B29" s="110" t="s">
        <v>12</v>
      </c>
      <c r="C29" s="105" t="e">
        <f>VLOOKUP(Table257519913140106110151155170178204247[[#This Row],[PEG]],Table1016[#All],2,FALSE)</f>
        <v>#N/A</v>
      </c>
      <c r="D29" s="113"/>
      <c r="E29" s="122" t="e">
        <f>VLOOKUP(Table257519913140106110151155170178204247[[#This Row],[PEG]],Table1016[#All],3,FALSE)</f>
        <v>#N/A</v>
      </c>
    </row>
    <row r="30" spans="1:5">
      <c r="A30" s="114">
        <v>23</v>
      </c>
      <c r="B30" s="110" t="s">
        <v>12</v>
      </c>
      <c r="C30" s="105" t="e">
        <f>VLOOKUP(Table257519913140106110151155170178204247[[#This Row],[PEG]],Table1016[#All],2,FALSE)</f>
        <v>#N/A</v>
      </c>
      <c r="D30" s="113"/>
      <c r="E30" s="122" t="e">
        <f>VLOOKUP(Table257519913140106110151155170178204247[[#This Row],[PEG]],Table1016[#All],3,FALSE)</f>
        <v>#N/A</v>
      </c>
    </row>
    <row r="31" spans="1:5">
      <c r="A31" s="114">
        <v>24</v>
      </c>
      <c r="B31" s="110" t="s">
        <v>115</v>
      </c>
      <c r="C31" s="105" t="e">
        <f>VLOOKUP(Table257519913140106110151155170178204247[[#This Row],[PEG]],Table1016[#All],2,FALSE)</f>
        <v>#N/A</v>
      </c>
      <c r="D31" s="113"/>
      <c r="E31" s="122" t="e">
        <f>VLOOKUP(Table257519913140106110151155170178204247[[#This Row],[PEG]],Table1016[#All],3,FALSE)</f>
        <v>#N/A</v>
      </c>
    </row>
    <row r="32" spans="1:5">
      <c r="A32" s="114">
        <v>25</v>
      </c>
      <c r="B32" s="110" t="s">
        <v>115</v>
      </c>
      <c r="C32" s="105" t="e">
        <f>VLOOKUP(Table257519913140106110151155170178204247[[#This Row],[PEG]],Table1016[#All],2,FALSE)</f>
        <v>#N/A</v>
      </c>
      <c r="D32" s="113"/>
      <c r="E32" s="122" t="e">
        <f>VLOOKUP(Table257519913140106110151155170178204247[[#This Row],[PEG]],Table1016[#All],3,FALSE)</f>
        <v>#N/A</v>
      </c>
    </row>
    <row r="33" spans="1:5">
      <c r="A33" s="114">
        <v>26</v>
      </c>
      <c r="B33" s="110" t="s">
        <v>124</v>
      </c>
      <c r="C33" s="105" t="e">
        <f>VLOOKUP(Table257519913140106110151155170178204247[[#This Row],[PEG]],Table1016[#All],2,FALSE)</f>
        <v>#N/A</v>
      </c>
      <c r="D33" s="113"/>
      <c r="E33" s="122" t="e">
        <f>VLOOKUP(Table257519913140106110151155170178204247[[#This Row],[PEG]],Table1016[#All],3,FALSE)</f>
        <v>#N/A</v>
      </c>
    </row>
    <row r="34" spans="1:5">
      <c r="A34" s="114">
        <v>27</v>
      </c>
      <c r="B34" s="110" t="s">
        <v>115</v>
      </c>
      <c r="C34" s="105" t="e">
        <f>VLOOKUP(Table257519913140106110151155170178204247[[#This Row],[PEG]],Table1016[#All],2,FALSE)</f>
        <v>#N/A</v>
      </c>
      <c r="D34" s="113"/>
      <c r="E34" s="122" t="e">
        <f>VLOOKUP(Table257519913140106110151155170178204247[[#This Row],[PEG]],Table1016[#All],3,FALSE)</f>
        <v>#N/A</v>
      </c>
    </row>
    <row r="35" spans="1:5">
      <c r="A35" s="114">
        <v>28</v>
      </c>
      <c r="B35" s="110" t="s">
        <v>124</v>
      </c>
      <c r="C35" s="105" t="e">
        <f>VLOOKUP(Table257519913140106110151155170178204247[[#This Row],[PEG]],Table1016[#All],2,FALSE)</f>
        <v>#N/A</v>
      </c>
      <c r="D35" s="113"/>
      <c r="E35" s="122" t="e">
        <f>VLOOKUP(Table257519913140106110151155170178204247[[#This Row],[PEG]],Table1016[#All],3,FALSE)</f>
        <v>#N/A</v>
      </c>
    </row>
    <row r="36" spans="1:5">
      <c r="A36" s="114">
        <v>29</v>
      </c>
      <c r="B36" s="110" t="s">
        <v>115</v>
      </c>
      <c r="C36" s="105" t="e">
        <f>VLOOKUP(Table257519913140106110151155170178204247[[#This Row],[PEG]],Table1016[#All],2,FALSE)</f>
        <v>#N/A</v>
      </c>
      <c r="D36" s="113"/>
      <c r="E36" s="122" t="e">
        <f>VLOOKUP(Table257519913140106110151155170178204247[[#This Row],[PEG]],Table1016[#All],3,FALSE)</f>
        <v>#N/A</v>
      </c>
    </row>
    <row r="37" spans="1:5">
      <c r="A37" s="114">
        <v>30</v>
      </c>
      <c r="B37" s="110" t="s">
        <v>12</v>
      </c>
      <c r="C37" s="105" t="e">
        <f>VLOOKUP(Table257519913140106110151155170178204247[[#This Row],[PEG]],Table1016[#All],2,FALSE)</f>
        <v>#N/A</v>
      </c>
      <c r="D37" s="113"/>
      <c r="E37" s="122" t="e">
        <f>VLOOKUP(Table257519913140106110151155170178204247[[#This Row],[PEG]],Table1016[#All],3,FALSE)</f>
        <v>#N/A</v>
      </c>
    </row>
    <row r="38" spans="1:5">
      <c r="A38" s="114">
        <v>31</v>
      </c>
      <c r="B38" s="110" t="s">
        <v>12</v>
      </c>
      <c r="C38" s="105" t="e">
        <f>VLOOKUP(Table257519913140106110151155170178204247[[#This Row],[PEG]],Table1016[#All],2,FALSE)</f>
        <v>#N/A</v>
      </c>
      <c r="D38" s="113"/>
      <c r="E38" s="122" t="e">
        <f>VLOOKUP(Table257519913140106110151155170178204247[[#This Row],[PEG]],Table1016[#All],3,FALSE)</f>
        <v>#N/A</v>
      </c>
    </row>
    <row r="39" spans="1:5">
      <c r="A39" s="114">
        <v>32</v>
      </c>
      <c r="B39" s="110" t="s">
        <v>12</v>
      </c>
      <c r="C39" s="105" t="e">
        <f>VLOOKUP(Table257519913140106110151155170178204247[[#This Row],[PEG]],Table1016[#All],2,FALSE)</f>
        <v>#N/A</v>
      </c>
      <c r="D39" s="113"/>
      <c r="E39" s="122" t="e">
        <f>VLOOKUP(Table257519913140106110151155170178204247[[#This Row],[PEG]],Table1016[#All],3,FALSE)</f>
        <v>#N/A</v>
      </c>
    </row>
    <row r="40" spans="1:5">
      <c r="A40" s="114">
        <v>33</v>
      </c>
      <c r="B40" s="110" t="s">
        <v>12</v>
      </c>
      <c r="C40" s="105" t="e">
        <f>VLOOKUP(Table257519913140106110151155170178204247[[#This Row],[PEG]],Table1016[#All],2,FALSE)</f>
        <v>#N/A</v>
      </c>
      <c r="D40" s="113"/>
      <c r="E40" s="122" t="e">
        <f>VLOOKUP(Table257519913140106110151155170178204247[[#This Row],[PEG]],Table1016[#All],3,FALSE)</f>
        <v>#N/A</v>
      </c>
    </row>
    <row r="41" spans="1:5">
      <c r="A41" s="114">
        <v>34</v>
      </c>
      <c r="B41" s="110" t="s">
        <v>115</v>
      </c>
      <c r="C41" s="105" t="e">
        <f>VLOOKUP(Table257519913140106110151155170178204247[[#This Row],[PEG]],Table1016[#All],2,FALSE)</f>
        <v>#N/A</v>
      </c>
      <c r="D41" s="113"/>
      <c r="E41" s="122" t="e">
        <f>VLOOKUP(Table257519913140106110151155170178204247[[#This Row],[PEG]],Table1016[#All],3,FALSE)</f>
        <v>#N/A</v>
      </c>
    </row>
    <row r="42" spans="1:5">
      <c r="A42" s="114">
        <v>35</v>
      </c>
      <c r="B42" s="110" t="s">
        <v>12</v>
      </c>
      <c r="C42" s="105" t="e">
        <f>VLOOKUP(Table257519913140106110151155170178204247[[#This Row],[PEG]],Table1016[#All],2,FALSE)</f>
        <v>#N/A</v>
      </c>
      <c r="D42" s="111"/>
      <c r="E42" s="122" t="e">
        <f>VLOOKUP(Table257519913140106110151155170178204247[[#This Row],[PEG]],Table1016[#All],3,FALSE)</f>
        <v>#N/A</v>
      </c>
    </row>
    <row r="43" spans="1:5">
      <c r="A43" s="114">
        <v>36</v>
      </c>
      <c r="B43" s="110" t="s">
        <v>115</v>
      </c>
      <c r="C43" s="105" t="e">
        <f>VLOOKUP(Table257519913140106110151155170178204247[[#This Row],[PEG]],Table1016[#All],2,FALSE)</f>
        <v>#N/A</v>
      </c>
      <c r="D43" s="111"/>
      <c r="E43" s="122" t="e">
        <f>VLOOKUP(Table257519913140106110151155170178204247[[#This Row],[PEG]],Table1016[#All],3,FALSE)</f>
        <v>#N/A</v>
      </c>
    </row>
    <row r="44" spans="1:5">
      <c r="A44" s="114">
        <v>37</v>
      </c>
      <c r="B44" s="110" t="s">
        <v>13</v>
      </c>
      <c r="C44" s="17" t="s">
        <v>13</v>
      </c>
      <c r="D44" s="111"/>
      <c r="E44" s="31"/>
    </row>
  </sheetData>
  <mergeCells count="1">
    <mergeCell ref="A1:B1"/>
  </mergeCells>
  <conditionalFormatting sqref="B8:B18">
    <cfRule type="containsText" dxfId="846" priority="1" operator="containsText" text="Hear">
      <formula>NOT(ISERROR(SEARCH("Hear",B8)))</formula>
    </cfRule>
  </conditionalFormatting>
  <conditionalFormatting sqref="B30">
    <cfRule type="containsText" dxfId="845" priority="4" operator="containsText" text="Hear">
      <formula>NOT(ISERROR(SEARCH("Hear",B30)))</formula>
    </cfRule>
  </conditionalFormatting>
  <conditionalFormatting sqref="B43:B44">
    <cfRule type="containsText" dxfId="844" priority="8" operator="containsText" text="Hear">
      <formula>NOT(ISERROR(SEARCH("Hear",B43)))</formula>
    </cfRule>
  </conditionalFormatting>
  <conditionalFormatting sqref="E44">
    <cfRule type="containsText" dxfId="843" priority="6" operator="containsText" text="WEB SERVICE">
      <formula>NOT(ISERROR(SEARCH("WEB SERVICE",E44)))</formula>
    </cfRule>
    <cfRule type="containsText" dxfId="842" priority="7" operator="containsText" text="DB">
      <formula>NOT(ISERROR(SEARCH("DB",E44)))</formula>
    </cfRule>
  </conditionalFormatting>
  <conditionalFormatting sqref="C44">
    <cfRule type="expression" dxfId="841" priority="9">
      <formula>$B44="Dial"</formula>
    </cfRule>
  </conditionalFormatting>
  <conditionalFormatting sqref="C44">
    <cfRule type="expression" dxfId="840" priority="3">
      <formula>$B44="Speak"</formula>
    </cfRule>
  </conditionalFormatting>
  <conditionalFormatting sqref="B19:B29 B31:B35 B42">
    <cfRule type="containsText" dxfId="839" priority="5" operator="containsText" text="Hear">
      <formula>NOT(ISERROR(SEARCH("Hear",B19)))</formula>
    </cfRule>
  </conditionalFormatting>
  <hyperlinks>
    <hyperlink ref="A1" location="'Test Case Overview'!A1" display="Return to Test Case Overview" xr:uid="{00000000-0004-0000-A9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2EE8CEF7-AD39-4CE1-9FC3-70AB40B121B1}">
            <xm:f>'TC1'!$B8="HANGUP"</xm:f>
            <x14:dxf>
              <font>
                <b/>
                <i val="0"/>
              </font>
            </x14:dxf>
          </x14:cfRule>
          <xm:sqref>C8</xm:sqref>
        </x14:conditionalFormatting>
        <x14:conditionalFormatting xmlns:xm="http://schemas.microsoft.com/office/excel/2006/main">
          <x14:cfRule type="expression" priority="3325" id="{2EE8CEF7-AD39-4CE1-9FC3-70AB40B121B1}">
            <xm:f>'TC1'!$B14="HANGUP"</xm:f>
            <x14:dxf>
              <font>
                <b/>
                <i val="0"/>
              </font>
            </x14:dxf>
          </x14:cfRule>
          <xm:sqref>C34:C43</xm:sqref>
        </x14:conditionalFormatting>
        <x14:conditionalFormatting xmlns:xm="http://schemas.microsoft.com/office/excel/2006/main">
          <x14:cfRule type="expression" priority="3326" id="{2EE8CEF7-AD39-4CE1-9FC3-70AB40B121B1}">
            <xm:f>'TC1'!#REF!="HANGUP"</xm:f>
            <x14:dxf>
              <font>
                <b/>
                <i val="0"/>
              </font>
            </x14:dxf>
          </x14:cfRule>
          <xm:sqref>C13:C33</xm:sqref>
        </x14:conditionalFormatting>
        <x14:conditionalFormatting xmlns:xm="http://schemas.microsoft.com/office/excel/2006/main">
          <x14:cfRule type="expression" priority="4589" id="{2EE8CEF7-AD39-4CE1-9FC3-70AB40B121B1}">
            <xm:f>'TC1'!$B10="HANGUP"</xm:f>
            <x14:dxf>
              <font>
                <b/>
                <i val="0"/>
              </font>
            </x14:dxf>
          </x14:cfRule>
          <xm:sqref>C9:C12</xm:sqref>
        </x14:conditionalFormatting>
      </x14:conditionalFormattings>
    </ext>
  </extLst>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A00-000000000000}">
  <sheetPr codeName="Sheet172"/>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TC170</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VLOOKUP(Table257519913140106110151155170178204249[[#This Row],[PEG]],Table1016[#All],2,FALSE)</f>
        <v>#N/A</v>
      </c>
      <c r="D9" s="125"/>
      <c r="E9" s="122" t="e">
        <f>VLOOKUP(Table257519913140106110151155170178204249[[#This Row],[PEG]],Table1016[#All],3,FALSE)</f>
        <v>#N/A</v>
      </c>
    </row>
    <row r="10" spans="1:5">
      <c r="A10" s="114">
        <v>3</v>
      </c>
      <c r="B10" s="110" t="s">
        <v>115</v>
      </c>
      <c r="C10" s="105" t="e">
        <f>VLOOKUP(Table257519913140106110151155170178204249[[#This Row],[PEG]],Table1016[#All],2,FALSE)</f>
        <v>#N/A</v>
      </c>
      <c r="D10" s="125"/>
      <c r="E10" s="122" t="e">
        <f>VLOOKUP(Table257519913140106110151155170178204249[[#This Row],[PEG]],Table1016[#All],3,FALSE)</f>
        <v>#N/A</v>
      </c>
    </row>
    <row r="11" spans="1:5">
      <c r="A11" s="114">
        <v>4</v>
      </c>
      <c r="B11" s="110" t="s">
        <v>115</v>
      </c>
      <c r="C11" s="105" t="e">
        <f>VLOOKUP(Table257519913140106110151155170178204249[[#This Row],[PEG]],Table1016[#All],2,FALSE)</f>
        <v>#N/A</v>
      </c>
      <c r="D11" s="125"/>
      <c r="E11" s="122" t="e">
        <f>VLOOKUP(Table257519913140106110151155170178204249[[#This Row],[PEG]],Table1016[#All],3,FALSE)</f>
        <v>#N/A</v>
      </c>
    </row>
    <row r="12" spans="1:5">
      <c r="A12" s="114">
        <v>5</v>
      </c>
      <c r="B12" s="110" t="s">
        <v>114</v>
      </c>
      <c r="C12" s="105" t="e">
        <f>VLOOKUP(Table257519913140106110151155170178204249[[#This Row],[PEG]],Table1016[#All],2,FALSE)</f>
        <v>#N/A</v>
      </c>
      <c r="D12" s="125"/>
      <c r="E12" s="122" t="e">
        <f>VLOOKUP(Table257519913140106110151155170178204249[[#This Row],[PEG]],Table1016[#All],3,FALSE)</f>
        <v>#N/A</v>
      </c>
    </row>
    <row r="13" spans="1:5">
      <c r="A13" s="114">
        <v>6</v>
      </c>
      <c r="B13" s="110" t="s">
        <v>115</v>
      </c>
      <c r="C13" s="105" t="e">
        <f>VLOOKUP(Table257519913140106110151155170178204249[[#This Row],[PEG]],Table1016[#All],2,FALSE)</f>
        <v>#N/A</v>
      </c>
      <c r="D13" s="125"/>
      <c r="E13" s="122" t="e">
        <f>VLOOKUP(Table257519913140106110151155170178204249[[#This Row],[PEG]],Table1016[#All],3,FALSE)</f>
        <v>#N/A</v>
      </c>
    </row>
    <row r="14" spans="1:5">
      <c r="A14" s="114">
        <v>7</v>
      </c>
      <c r="B14" s="110" t="s">
        <v>114</v>
      </c>
      <c r="C14" s="105" t="e">
        <f>VLOOKUP(Table257519913140106110151155170178204249[[#This Row],[PEG]],Table1016[#All],2,FALSE)</f>
        <v>#N/A</v>
      </c>
      <c r="D14" s="125"/>
      <c r="E14" s="122" t="e">
        <f>VLOOKUP(Table257519913140106110151155170178204249[[#This Row],[PEG]],Table1016[#All],3,FALSE)</f>
        <v>#N/A</v>
      </c>
    </row>
    <row r="15" spans="1:5">
      <c r="A15" s="114">
        <v>8</v>
      </c>
      <c r="B15" s="110" t="s">
        <v>115</v>
      </c>
      <c r="C15" s="105" t="e">
        <f>VLOOKUP(Table257519913140106110151155170178204249[[#This Row],[PEG]],Table1016[#All],2,FALSE)</f>
        <v>#N/A</v>
      </c>
      <c r="D15" s="112"/>
      <c r="E15" s="122" t="e">
        <f>VLOOKUP(Table257519913140106110151155170178204249[[#This Row],[PEG]],Table1016[#All],3,FALSE)</f>
        <v>#N/A</v>
      </c>
    </row>
    <row r="16" spans="1:5">
      <c r="A16" s="114">
        <v>9</v>
      </c>
      <c r="B16" s="110" t="s">
        <v>12</v>
      </c>
      <c r="C16" s="105" t="e">
        <f>VLOOKUP(Table257519913140106110151155170178204249[[#This Row],[PEG]],Table1016[#All],2,FALSE)</f>
        <v>#N/A</v>
      </c>
      <c r="D16" s="112"/>
      <c r="E16" s="122" t="e">
        <f>VLOOKUP(Table257519913140106110151155170178204249[[#This Row],[PEG]],Table1016[#All],3,FALSE)</f>
        <v>#N/A</v>
      </c>
    </row>
    <row r="17" spans="1:5">
      <c r="A17" s="114">
        <v>10</v>
      </c>
      <c r="B17" s="110" t="s">
        <v>12</v>
      </c>
      <c r="C17" s="105" t="e">
        <f>VLOOKUP(Table257519913140106110151155170178204249[[#This Row],[PEG]],Table1016[#All],2,FALSE)</f>
        <v>#N/A</v>
      </c>
      <c r="D17" s="113"/>
      <c r="E17" s="122" t="e">
        <f>VLOOKUP(Table257519913140106110151155170178204249[[#This Row],[PEG]],Table1016[#All],3,FALSE)</f>
        <v>#N/A</v>
      </c>
    </row>
    <row r="18" spans="1:5">
      <c r="A18" s="114">
        <v>11</v>
      </c>
      <c r="B18" s="110" t="s">
        <v>115</v>
      </c>
      <c r="C18" s="105" t="e">
        <f>VLOOKUP(Table257519913140106110151155170178204249[[#This Row],[PEG]],Table1016[#All],2,FALSE)</f>
        <v>#N/A</v>
      </c>
      <c r="D18" s="113"/>
      <c r="E18" s="122" t="e">
        <f>VLOOKUP(Table257519913140106110151155170178204249[[#This Row],[PEG]],Table1016[#All],3,FALSE)</f>
        <v>#N/A</v>
      </c>
    </row>
    <row r="19" spans="1:5">
      <c r="A19" s="114">
        <v>12</v>
      </c>
      <c r="B19" s="110" t="s">
        <v>115</v>
      </c>
      <c r="C19" s="105" t="e">
        <f>VLOOKUP(Table257519913140106110151155170178204249[[#This Row],[PEG]],Table1016[#All],2,FALSE)</f>
        <v>#N/A</v>
      </c>
      <c r="D19" s="113"/>
      <c r="E19" s="122" t="e">
        <f>VLOOKUP(Table257519913140106110151155170178204249[[#This Row],[PEG]],Table1016[#All],3,FALSE)</f>
        <v>#N/A</v>
      </c>
    </row>
    <row r="20" spans="1:5">
      <c r="A20" s="114">
        <v>13</v>
      </c>
      <c r="B20" s="110" t="s">
        <v>114</v>
      </c>
      <c r="C20" s="105" t="e">
        <f>VLOOKUP(Table257519913140106110151155170178204249[[#This Row],[PEG]],Table1016[#All],2,FALSE)</f>
        <v>#N/A</v>
      </c>
      <c r="D20" s="113"/>
      <c r="E20" s="122" t="e">
        <f>VLOOKUP(Table257519913140106110151155170178204249[[#This Row],[PEG]],Table1016[#All],3,FALSE)</f>
        <v>#N/A</v>
      </c>
    </row>
    <row r="21" spans="1:5">
      <c r="A21" s="114">
        <v>14</v>
      </c>
      <c r="B21" s="110" t="s">
        <v>12</v>
      </c>
      <c r="C21" s="105" t="e">
        <f>VLOOKUP(Table257519913140106110151155170178204249[[#This Row],[PEG]],Table1016[#All],2,FALSE)</f>
        <v>#N/A</v>
      </c>
      <c r="D21" s="113"/>
      <c r="E21" s="122" t="e">
        <f>VLOOKUP(Table257519913140106110151155170178204249[[#This Row],[PEG]],Table1016[#All],3,FALSE)</f>
        <v>#N/A</v>
      </c>
    </row>
    <row r="22" spans="1:5">
      <c r="A22" s="114">
        <v>15</v>
      </c>
      <c r="B22" s="110" t="s">
        <v>12</v>
      </c>
      <c r="C22" s="105" t="e">
        <f>VLOOKUP(Table257519913140106110151155170178204249[[#This Row],[PEG]],Table1016[#All],2,FALSE)</f>
        <v>#N/A</v>
      </c>
      <c r="D22" s="113"/>
      <c r="E22" s="122" t="e">
        <f>VLOOKUP(Table257519913140106110151155170178204249[[#This Row],[PEG]],Table1016[#All],3,FALSE)</f>
        <v>#N/A</v>
      </c>
    </row>
    <row r="23" spans="1:5">
      <c r="A23" s="114">
        <v>16</v>
      </c>
      <c r="B23" s="110" t="s">
        <v>115</v>
      </c>
      <c r="C23" s="105" t="e">
        <f>VLOOKUP(Table257519913140106110151155170178204249[[#This Row],[PEG]],Table1016[#All],2,FALSE)</f>
        <v>#N/A</v>
      </c>
      <c r="D23" s="113"/>
      <c r="E23" s="122" t="e">
        <f>VLOOKUP(Table257519913140106110151155170178204249[[#This Row],[PEG]],Table1016[#All],3,FALSE)</f>
        <v>#N/A</v>
      </c>
    </row>
    <row r="24" spans="1:5">
      <c r="A24" s="114">
        <v>17</v>
      </c>
      <c r="B24" s="110" t="s">
        <v>114</v>
      </c>
      <c r="C24" s="105" t="e">
        <f>VLOOKUP(Table257519913140106110151155170178204249[[#This Row],[PEG]],Table1016[#All],2,FALSE)</f>
        <v>#N/A</v>
      </c>
      <c r="D24" s="113"/>
      <c r="E24" s="122" t="e">
        <f>VLOOKUP(Table257519913140106110151155170178204249[[#This Row],[PEG]],Table1016[#All],3,FALSE)</f>
        <v>#N/A</v>
      </c>
    </row>
    <row r="25" spans="1:5">
      <c r="A25" s="114">
        <v>18</v>
      </c>
      <c r="B25" s="110" t="s">
        <v>12</v>
      </c>
      <c r="C25" s="105" t="e">
        <f>VLOOKUP(Table257519913140106110151155170178204249[[#This Row],[PEG]],Table1016[#All],2,FALSE)</f>
        <v>#N/A</v>
      </c>
      <c r="D25" s="113"/>
      <c r="E25" s="122" t="e">
        <f>VLOOKUP(Table257519913140106110151155170178204249[[#This Row],[PEG]],Table1016[#All],3,FALSE)</f>
        <v>#N/A</v>
      </c>
    </row>
    <row r="26" spans="1:5">
      <c r="A26" s="114">
        <v>19</v>
      </c>
      <c r="B26" s="110" t="s">
        <v>12</v>
      </c>
      <c r="C26" s="105" t="e">
        <f>VLOOKUP(Table257519913140106110151155170178204249[[#This Row],[PEG]],Table1016[#All],2,FALSE)</f>
        <v>#N/A</v>
      </c>
      <c r="D26" s="113"/>
      <c r="E26" s="122" t="e">
        <f>VLOOKUP(Table257519913140106110151155170178204249[[#This Row],[PEG]],Table1016[#All],3,FALSE)</f>
        <v>#N/A</v>
      </c>
    </row>
    <row r="27" spans="1:5">
      <c r="A27" s="114">
        <v>20</v>
      </c>
      <c r="B27" s="110" t="s">
        <v>115</v>
      </c>
      <c r="C27" s="105" t="e">
        <f>VLOOKUP(Table257519913140106110151155170178204249[[#This Row],[PEG]],Table1016[#All],2,FALSE)</f>
        <v>#N/A</v>
      </c>
      <c r="D27" s="113"/>
      <c r="E27" s="122" t="e">
        <f>VLOOKUP(Table257519913140106110151155170178204249[[#This Row],[PEG]],Table1016[#All],3,FALSE)</f>
        <v>#N/A</v>
      </c>
    </row>
    <row r="28" spans="1:5">
      <c r="A28" s="114">
        <v>21</v>
      </c>
      <c r="B28" s="110" t="s">
        <v>114</v>
      </c>
      <c r="C28" s="105" t="e">
        <f>VLOOKUP(Table257519913140106110151155170178204249[[#This Row],[PEG]],Table1016[#All],2,FALSE)</f>
        <v>#N/A</v>
      </c>
      <c r="D28" s="113"/>
      <c r="E28" s="122" t="e">
        <f>VLOOKUP(Table257519913140106110151155170178204249[[#This Row],[PEG]],Table1016[#All],3,FALSE)</f>
        <v>#N/A</v>
      </c>
    </row>
    <row r="29" spans="1:5">
      <c r="A29" s="114">
        <v>22</v>
      </c>
      <c r="B29" s="110" t="s">
        <v>12</v>
      </c>
      <c r="C29" s="105" t="e">
        <f>VLOOKUP(Table257519913140106110151155170178204249[[#This Row],[PEG]],Table1016[#All],2,FALSE)</f>
        <v>#N/A</v>
      </c>
      <c r="D29" s="113"/>
      <c r="E29" s="122" t="e">
        <f>VLOOKUP(Table257519913140106110151155170178204249[[#This Row],[PEG]],Table1016[#All],3,FALSE)</f>
        <v>#N/A</v>
      </c>
    </row>
    <row r="30" spans="1:5">
      <c r="A30" s="114">
        <v>23</v>
      </c>
      <c r="B30" s="110" t="s">
        <v>12</v>
      </c>
      <c r="C30" s="105" t="e">
        <f>VLOOKUP(Table257519913140106110151155170178204249[[#This Row],[PEG]],Table1016[#All],2,FALSE)</f>
        <v>#N/A</v>
      </c>
      <c r="D30" s="113"/>
      <c r="E30" s="122" t="e">
        <f>VLOOKUP(Table257519913140106110151155170178204249[[#This Row],[PEG]],Table1016[#All],3,FALSE)</f>
        <v>#N/A</v>
      </c>
    </row>
    <row r="31" spans="1:5">
      <c r="A31" s="114">
        <v>24</v>
      </c>
      <c r="B31" s="110" t="s">
        <v>115</v>
      </c>
      <c r="C31" s="105" t="e">
        <f>VLOOKUP(Table257519913140106110151155170178204249[[#This Row],[PEG]],Table1016[#All],2,FALSE)</f>
        <v>#N/A</v>
      </c>
      <c r="D31" s="113"/>
      <c r="E31" s="122" t="e">
        <f>VLOOKUP(Table257519913140106110151155170178204249[[#This Row],[PEG]],Table1016[#All],3,FALSE)</f>
        <v>#N/A</v>
      </c>
    </row>
    <row r="32" spans="1:5">
      <c r="A32" s="114">
        <v>25</v>
      </c>
      <c r="B32" s="110" t="s">
        <v>115</v>
      </c>
      <c r="C32" s="105" t="e">
        <f>VLOOKUP(Table257519913140106110151155170178204249[[#This Row],[PEG]],Table1016[#All],2,FALSE)</f>
        <v>#N/A</v>
      </c>
      <c r="D32" s="113"/>
      <c r="E32" s="122" t="e">
        <f>VLOOKUP(Table257519913140106110151155170178204249[[#This Row],[PEG]],Table1016[#All],3,FALSE)</f>
        <v>#N/A</v>
      </c>
    </row>
    <row r="33" spans="1:5">
      <c r="A33" s="114">
        <v>26</v>
      </c>
      <c r="B33" s="110" t="s">
        <v>124</v>
      </c>
      <c r="C33" s="105" t="e">
        <f>VLOOKUP(Table257519913140106110151155170178204249[[#This Row],[PEG]],Table1016[#All],2,FALSE)</f>
        <v>#N/A</v>
      </c>
      <c r="D33" s="113"/>
      <c r="E33" s="122" t="e">
        <f>VLOOKUP(Table257519913140106110151155170178204249[[#This Row],[PEG]],Table1016[#All],3,FALSE)</f>
        <v>#N/A</v>
      </c>
    </row>
    <row r="34" spans="1:5">
      <c r="A34" s="114">
        <v>27</v>
      </c>
      <c r="B34" s="110" t="s">
        <v>115</v>
      </c>
      <c r="C34" s="105" t="e">
        <f>VLOOKUP(Table257519913140106110151155170178204249[[#This Row],[PEG]],Table1016[#All],2,FALSE)</f>
        <v>#N/A</v>
      </c>
      <c r="D34" s="113"/>
      <c r="E34" s="122" t="e">
        <f>VLOOKUP(Table257519913140106110151155170178204249[[#This Row],[PEG]],Table1016[#All],3,FALSE)</f>
        <v>#N/A</v>
      </c>
    </row>
    <row r="35" spans="1:5">
      <c r="A35" s="114">
        <v>28</v>
      </c>
      <c r="B35" s="110" t="s">
        <v>124</v>
      </c>
      <c r="C35" s="105" t="e">
        <f>VLOOKUP(Table257519913140106110151155170178204249[[#This Row],[PEG]],Table1016[#All],2,FALSE)</f>
        <v>#N/A</v>
      </c>
      <c r="D35" s="113"/>
      <c r="E35" s="122" t="e">
        <f>VLOOKUP(Table257519913140106110151155170178204249[[#This Row],[PEG]],Table1016[#All],3,FALSE)</f>
        <v>#N/A</v>
      </c>
    </row>
    <row r="36" spans="1:5">
      <c r="A36" s="114">
        <v>29</v>
      </c>
      <c r="B36" s="110" t="s">
        <v>115</v>
      </c>
      <c r="C36" s="105" t="e">
        <f>VLOOKUP(Table257519913140106110151155170178204249[[#This Row],[PEG]],Table1016[#All],2,FALSE)</f>
        <v>#N/A</v>
      </c>
      <c r="D36" s="113"/>
      <c r="E36" s="122" t="e">
        <f>VLOOKUP(Table257519913140106110151155170178204249[[#This Row],[PEG]],Table1016[#All],3,FALSE)</f>
        <v>#N/A</v>
      </c>
    </row>
    <row r="37" spans="1:5">
      <c r="A37" s="114">
        <v>30</v>
      </c>
      <c r="B37" s="110" t="s">
        <v>12</v>
      </c>
      <c r="C37" s="105" t="e">
        <f>VLOOKUP(Table257519913140106110151155170178204249[[#This Row],[PEG]],Table1016[#All],2,FALSE)</f>
        <v>#N/A</v>
      </c>
      <c r="D37" s="113"/>
      <c r="E37" s="122" t="e">
        <f>VLOOKUP(Table257519913140106110151155170178204249[[#This Row],[PEG]],Table1016[#All],3,FALSE)</f>
        <v>#N/A</v>
      </c>
    </row>
    <row r="38" spans="1:5">
      <c r="A38" s="114">
        <v>31</v>
      </c>
      <c r="B38" s="110" t="s">
        <v>12</v>
      </c>
      <c r="C38" s="105" t="e">
        <f>VLOOKUP(Table257519913140106110151155170178204249[[#This Row],[PEG]],Table1016[#All],2,FALSE)</f>
        <v>#N/A</v>
      </c>
      <c r="D38" s="113"/>
      <c r="E38" s="122" t="e">
        <f>VLOOKUP(Table257519913140106110151155170178204249[[#This Row],[PEG]],Table1016[#All],3,FALSE)</f>
        <v>#N/A</v>
      </c>
    </row>
    <row r="39" spans="1:5">
      <c r="A39" s="114">
        <v>32</v>
      </c>
      <c r="B39" s="110" t="s">
        <v>12</v>
      </c>
      <c r="C39" s="105" t="e">
        <f>VLOOKUP(Table257519913140106110151155170178204249[[#This Row],[PEG]],Table1016[#All],2,FALSE)</f>
        <v>#N/A</v>
      </c>
      <c r="D39" s="113"/>
      <c r="E39" s="122" t="e">
        <f>VLOOKUP(Table257519913140106110151155170178204249[[#This Row],[PEG]],Table1016[#All],3,FALSE)</f>
        <v>#N/A</v>
      </c>
    </row>
    <row r="40" spans="1:5">
      <c r="A40" s="114">
        <v>33</v>
      </c>
      <c r="B40" s="110" t="s">
        <v>12</v>
      </c>
      <c r="C40" s="105" t="e">
        <f>VLOOKUP(Table257519913140106110151155170178204249[[#This Row],[PEG]],Table1016[#All],2,FALSE)</f>
        <v>#N/A</v>
      </c>
      <c r="D40" s="113"/>
      <c r="E40" s="122" t="e">
        <f>VLOOKUP(Table257519913140106110151155170178204249[[#This Row],[PEG]],Table1016[#All],3,FALSE)</f>
        <v>#N/A</v>
      </c>
    </row>
    <row r="41" spans="1:5">
      <c r="A41" s="114">
        <v>34</v>
      </c>
      <c r="B41" s="110" t="s">
        <v>115</v>
      </c>
      <c r="C41" s="105" t="e">
        <f>VLOOKUP(Table257519913140106110151155170178204249[[#This Row],[PEG]],Table1016[#All],2,FALSE)</f>
        <v>#N/A</v>
      </c>
      <c r="D41" s="113"/>
      <c r="E41" s="122" t="e">
        <f>VLOOKUP(Table257519913140106110151155170178204249[[#This Row],[PEG]],Table1016[#All],3,FALSE)</f>
        <v>#N/A</v>
      </c>
    </row>
    <row r="42" spans="1:5">
      <c r="A42" s="114">
        <v>35</v>
      </c>
      <c r="B42" s="110" t="s">
        <v>12</v>
      </c>
      <c r="C42" s="105" t="e">
        <f>VLOOKUP(Table257519913140106110151155170178204249[[#This Row],[PEG]],Table1016[#All],2,FALSE)</f>
        <v>#N/A</v>
      </c>
      <c r="D42" s="111"/>
      <c r="E42" s="122" t="e">
        <f>VLOOKUP(Table257519913140106110151155170178204249[[#This Row],[PEG]],Table1016[#All],3,FALSE)</f>
        <v>#N/A</v>
      </c>
    </row>
    <row r="43" spans="1:5">
      <c r="A43" s="114">
        <v>36</v>
      </c>
      <c r="B43" s="110" t="s">
        <v>115</v>
      </c>
      <c r="C43" s="105" t="e">
        <f>VLOOKUP(Table257519913140106110151155170178204249[[#This Row],[PEG]],Table1016[#All],2,FALSE)</f>
        <v>#N/A</v>
      </c>
      <c r="D43" s="111"/>
      <c r="E43" s="122" t="e">
        <f>VLOOKUP(Table257519913140106110151155170178204249[[#This Row],[PEG]],Table1016[#All],3,FALSE)</f>
        <v>#N/A</v>
      </c>
    </row>
    <row r="44" spans="1:5">
      <c r="A44" s="114">
        <v>37</v>
      </c>
      <c r="B44" s="110" t="s">
        <v>13</v>
      </c>
      <c r="C44" s="17" t="s">
        <v>13</v>
      </c>
      <c r="D44" s="111"/>
      <c r="E44" s="31"/>
    </row>
  </sheetData>
  <mergeCells count="1">
    <mergeCell ref="A1:B1"/>
  </mergeCells>
  <conditionalFormatting sqref="B8:B18">
    <cfRule type="containsText" dxfId="825" priority="1" operator="containsText" text="Hear">
      <formula>NOT(ISERROR(SEARCH("Hear",B8)))</formula>
    </cfRule>
  </conditionalFormatting>
  <conditionalFormatting sqref="B30">
    <cfRule type="containsText" dxfId="824" priority="4" operator="containsText" text="Hear">
      <formula>NOT(ISERROR(SEARCH("Hear",B30)))</formula>
    </cfRule>
  </conditionalFormatting>
  <conditionalFormatting sqref="B43:B44">
    <cfRule type="containsText" dxfId="823" priority="8" operator="containsText" text="Hear">
      <formula>NOT(ISERROR(SEARCH("Hear",B43)))</formula>
    </cfRule>
  </conditionalFormatting>
  <conditionalFormatting sqref="E44">
    <cfRule type="containsText" dxfId="822" priority="6" operator="containsText" text="WEB SERVICE">
      <formula>NOT(ISERROR(SEARCH("WEB SERVICE",E44)))</formula>
    </cfRule>
    <cfRule type="containsText" dxfId="821" priority="7" operator="containsText" text="DB">
      <formula>NOT(ISERROR(SEARCH("DB",E44)))</formula>
    </cfRule>
  </conditionalFormatting>
  <conditionalFormatting sqref="C44">
    <cfRule type="expression" dxfId="820" priority="9">
      <formula>$B44="Dial"</formula>
    </cfRule>
  </conditionalFormatting>
  <conditionalFormatting sqref="C44">
    <cfRule type="expression" dxfId="819" priority="3">
      <formula>$B44="Speak"</formula>
    </cfRule>
  </conditionalFormatting>
  <conditionalFormatting sqref="B19:B29 B31:B35 B42">
    <cfRule type="containsText" dxfId="818" priority="5" operator="containsText" text="Hear">
      <formula>NOT(ISERROR(SEARCH("Hear",B19)))</formula>
    </cfRule>
  </conditionalFormatting>
  <hyperlinks>
    <hyperlink ref="A1" location="'Test Case Overview'!A1" display="Return to Test Case Overview" xr:uid="{00000000-0004-0000-AA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D65D722B-FCFE-4447-91AC-B210CD89A2CC}">
            <xm:f>'TC1'!$B8="HANGUP"</xm:f>
            <x14:dxf>
              <font>
                <b/>
                <i val="0"/>
              </font>
            </x14:dxf>
          </x14:cfRule>
          <xm:sqref>C8</xm:sqref>
        </x14:conditionalFormatting>
        <x14:conditionalFormatting xmlns:xm="http://schemas.microsoft.com/office/excel/2006/main">
          <x14:cfRule type="expression" priority="3329" id="{D65D722B-FCFE-4447-91AC-B210CD89A2CC}">
            <xm:f>'TC1'!$B14="HANGUP"</xm:f>
            <x14:dxf>
              <font>
                <b/>
                <i val="0"/>
              </font>
            </x14:dxf>
          </x14:cfRule>
          <xm:sqref>C34:C43</xm:sqref>
        </x14:conditionalFormatting>
        <x14:conditionalFormatting xmlns:xm="http://schemas.microsoft.com/office/excel/2006/main">
          <x14:cfRule type="expression" priority="3330" id="{D65D722B-FCFE-4447-91AC-B210CD89A2CC}">
            <xm:f>'TC1'!#REF!="HANGUP"</xm:f>
            <x14:dxf>
              <font>
                <b/>
                <i val="0"/>
              </font>
            </x14:dxf>
          </x14:cfRule>
          <xm:sqref>C13:C33</xm:sqref>
        </x14:conditionalFormatting>
        <x14:conditionalFormatting xmlns:xm="http://schemas.microsoft.com/office/excel/2006/main">
          <x14:cfRule type="expression" priority="4591" id="{D65D722B-FCFE-4447-91AC-B210CD89A2CC}">
            <xm:f>'TC1'!$B10="HANGUP"</xm:f>
            <x14:dxf>
              <font>
                <b/>
                <i val="0"/>
              </font>
            </x14:dxf>
          </x14:cfRule>
          <xm:sqref>C9:C12</xm:sqref>
        </x14:conditionalFormatting>
      </x14:conditionalFormattings>
    </ext>
  </extLst>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B00-000000000000}">
  <sheetPr codeName="Sheet173"/>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TC171</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VLOOKUP(Table257519913140106110151155170178204251[[#This Row],[PEG]],Table1016[#All],2,FALSE)</f>
        <v>#N/A</v>
      </c>
      <c r="D9" s="125"/>
      <c r="E9" s="122" t="e">
        <f>VLOOKUP(Table257519913140106110151155170178204251[[#This Row],[PEG]],Table1016[#All],3,FALSE)</f>
        <v>#N/A</v>
      </c>
    </row>
    <row r="10" spans="1:5">
      <c r="A10" s="114">
        <v>3</v>
      </c>
      <c r="B10" s="110" t="s">
        <v>115</v>
      </c>
      <c r="C10" s="105" t="e">
        <f>VLOOKUP(Table257519913140106110151155170178204251[[#This Row],[PEG]],Table1016[#All],2,FALSE)</f>
        <v>#N/A</v>
      </c>
      <c r="D10" s="125"/>
      <c r="E10" s="122" t="e">
        <f>VLOOKUP(Table257519913140106110151155170178204251[[#This Row],[PEG]],Table1016[#All],3,FALSE)</f>
        <v>#N/A</v>
      </c>
    </row>
    <row r="11" spans="1:5">
      <c r="A11" s="114">
        <v>4</v>
      </c>
      <c r="B11" s="110" t="s">
        <v>115</v>
      </c>
      <c r="C11" s="105" t="e">
        <f>VLOOKUP(Table257519913140106110151155170178204251[[#This Row],[PEG]],Table1016[#All],2,FALSE)</f>
        <v>#N/A</v>
      </c>
      <c r="D11" s="125"/>
      <c r="E11" s="122" t="e">
        <f>VLOOKUP(Table257519913140106110151155170178204251[[#This Row],[PEG]],Table1016[#All],3,FALSE)</f>
        <v>#N/A</v>
      </c>
    </row>
    <row r="12" spans="1:5">
      <c r="A12" s="114">
        <v>5</v>
      </c>
      <c r="B12" s="110" t="s">
        <v>114</v>
      </c>
      <c r="C12" s="105" t="e">
        <f>VLOOKUP(Table257519913140106110151155170178204251[[#This Row],[PEG]],Table1016[#All],2,FALSE)</f>
        <v>#N/A</v>
      </c>
      <c r="D12" s="125"/>
      <c r="E12" s="122" t="e">
        <f>VLOOKUP(Table257519913140106110151155170178204251[[#This Row],[PEG]],Table1016[#All],3,FALSE)</f>
        <v>#N/A</v>
      </c>
    </row>
    <row r="13" spans="1:5">
      <c r="A13" s="114">
        <v>6</v>
      </c>
      <c r="B13" s="110" t="s">
        <v>115</v>
      </c>
      <c r="C13" s="105" t="e">
        <f>VLOOKUP(Table257519913140106110151155170178204251[[#This Row],[PEG]],Table1016[#All],2,FALSE)</f>
        <v>#N/A</v>
      </c>
      <c r="D13" s="125"/>
      <c r="E13" s="122" t="e">
        <f>VLOOKUP(Table257519913140106110151155170178204251[[#This Row],[PEG]],Table1016[#All],3,FALSE)</f>
        <v>#N/A</v>
      </c>
    </row>
    <row r="14" spans="1:5">
      <c r="A14" s="114">
        <v>7</v>
      </c>
      <c r="B14" s="110" t="s">
        <v>114</v>
      </c>
      <c r="C14" s="105" t="e">
        <f>VLOOKUP(Table257519913140106110151155170178204251[[#This Row],[PEG]],Table1016[#All],2,FALSE)</f>
        <v>#N/A</v>
      </c>
      <c r="D14" s="125"/>
      <c r="E14" s="122" t="e">
        <f>VLOOKUP(Table257519913140106110151155170178204251[[#This Row],[PEG]],Table1016[#All],3,FALSE)</f>
        <v>#N/A</v>
      </c>
    </row>
    <row r="15" spans="1:5">
      <c r="A15" s="114">
        <v>8</v>
      </c>
      <c r="B15" s="110" t="s">
        <v>115</v>
      </c>
      <c r="C15" s="105" t="e">
        <f>VLOOKUP(Table257519913140106110151155170178204251[[#This Row],[PEG]],Table1016[#All],2,FALSE)</f>
        <v>#N/A</v>
      </c>
      <c r="D15" s="112"/>
      <c r="E15" s="122" t="e">
        <f>VLOOKUP(Table257519913140106110151155170178204251[[#This Row],[PEG]],Table1016[#All],3,FALSE)</f>
        <v>#N/A</v>
      </c>
    </row>
    <row r="16" spans="1:5">
      <c r="A16" s="114">
        <v>9</v>
      </c>
      <c r="B16" s="110" t="s">
        <v>12</v>
      </c>
      <c r="C16" s="105" t="e">
        <f>VLOOKUP(Table257519913140106110151155170178204251[[#This Row],[PEG]],Table1016[#All],2,FALSE)</f>
        <v>#N/A</v>
      </c>
      <c r="D16" s="112"/>
      <c r="E16" s="122" t="e">
        <f>VLOOKUP(Table257519913140106110151155170178204251[[#This Row],[PEG]],Table1016[#All],3,FALSE)</f>
        <v>#N/A</v>
      </c>
    </row>
    <row r="17" spans="1:5">
      <c r="A17" s="114">
        <v>10</v>
      </c>
      <c r="B17" s="110" t="s">
        <v>12</v>
      </c>
      <c r="C17" s="105" t="e">
        <f>VLOOKUP(Table257519913140106110151155170178204251[[#This Row],[PEG]],Table1016[#All],2,FALSE)</f>
        <v>#N/A</v>
      </c>
      <c r="D17" s="113"/>
      <c r="E17" s="122" t="e">
        <f>VLOOKUP(Table257519913140106110151155170178204251[[#This Row],[PEG]],Table1016[#All],3,FALSE)</f>
        <v>#N/A</v>
      </c>
    </row>
    <row r="18" spans="1:5">
      <c r="A18" s="114">
        <v>11</v>
      </c>
      <c r="B18" s="110" t="s">
        <v>115</v>
      </c>
      <c r="C18" s="105" t="e">
        <f>VLOOKUP(Table257519913140106110151155170178204251[[#This Row],[PEG]],Table1016[#All],2,FALSE)</f>
        <v>#N/A</v>
      </c>
      <c r="D18" s="113"/>
      <c r="E18" s="122" t="e">
        <f>VLOOKUP(Table257519913140106110151155170178204251[[#This Row],[PEG]],Table1016[#All],3,FALSE)</f>
        <v>#N/A</v>
      </c>
    </row>
    <row r="19" spans="1:5">
      <c r="A19" s="114">
        <v>12</v>
      </c>
      <c r="B19" s="110" t="s">
        <v>115</v>
      </c>
      <c r="C19" s="105" t="e">
        <f>VLOOKUP(Table257519913140106110151155170178204251[[#This Row],[PEG]],Table1016[#All],2,FALSE)</f>
        <v>#N/A</v>
      </c>
      <c r="D19" s="113"/>
      <c r="E19" s="122" t="e">
        <f>VLOOKUP(Table257519913140106110151155170178204251[[#This Row],[PEG]],Table1016[#All],3,FALSE)</f>
        <v>#N/A</v>
      </c>
    </row>
    <row r="20" spans="1:5">
      <c r="A20" s="114">
        <v>13</v>
      </c>
      <c r="B20" s="110" t="s">
        <v>114</v>
      </c>
      <c r="C20" s="105" t="e">
        <f>VLOOKUP(Table257519913140106110151155170178204251[[#This Row],[PEG]],Table1016[#All],2,FALSE)</f>
        <v>#N/A</v>
      </c>
      <c r="D20" s="113"/>
      <c r="E20" s="122" t="e">
        <f>VLOOKUP(Table257519913140106110151155170178204251[[#This Row],[PEG]],Table1016[#All],3,FALSE)</f>
        <v>#N/A</v>
      </c>
    </row>
    <row r="21" spans="1:5">
      <c r="A21" s="114">
        <v>14</v>
      </c>
      <c r="B21" s="110" t="s">
        <v>12</v>
      </c>
      <c r="C21" s="105" t="e">
        <f>VLOOKUP(Table257519913140106110151155170178204251[[#This Row],[PEG]],Table1016[#All],2,FALSE)</f>
        <v>#N/A</v>
      </c>
      <c r="D21" s="113"/>
      <c r="E21" s="122" t="e">
        <f>VLOOKUP(Table257519913140106110151155170178204251[[#This Row],[PEG]],Table1016[#All],3,FALSE)</f>
        <v>#N/A</v>
      </c>
    </row>
    <row r="22" spans="1:5">
      <c r="A22" s="114">
        <v>15</v>
      </c>
      <c r="B22" s="110" t="s">
        <v>12</v>
      </c>
      <c r="C22" s="105" t="e">
        <f>VLOOKUP(Table257519913140106110151155170178204251[[#This Row],[PEG]],Table1016[#All],2,FALSE)</f>
        <v>#N/A</v>
      </c>
      <c r="D22" s="113"/>
      <c r="E22" s="122" t="e">
        <f>VLOOKUP(Table257519913140106110151155170178204251[[#This Row],[PEG]],Table1016[#All],3,FALSE)</f>
        <v>#N/A</v>
      </c>
    </row>
    <row r="23" spans="1:5">
      <c r="A23" s="114">
        <v>16</v>
      </c>
      <c r="B23" s="110" t="s">
        <v>115</v>
      </c>
      <c r="C23" s="105" t="e">
        <f>VLOOKUP(Table257519913140106110151155170178204251[[#This Row],[PEG]],Table1016[#All],2,FALSE)</f>
        <v>#N/A</v>
      </c>
      <c r="D23" s="113"/>
      <c r="E23" s="122" t="e">
        <f>VLOOKUP(Table257519913140106110151155170178204251[[#This Row],[PEG]],Table1016[#All],3,FALSE)</f>
        <v>#N/A</v>
      </c>
    </row>
    <row r="24" spans="1:5">
      <c r="A24" s="114">
        <v>17</v>
      </c>
      <c r="B24" s="110" t="s">
        <v>114</v>
      </c>
      <c r="C24" s="105" t="e">
        <f>VLOOKUP(Table257519913140106110151155170178204251[[#This Row],[PEG]],Table1016[#All],2,FALSE)</f>
        <v>#N/A</v>
      </c>
      <c r="D24" s="113"/>
      <c r="E24" s="122" t="e">
        <f>VLOOKUP(Table257519913140106110151155170178204251[[#This Row],[PEG]],Table1016[#All],3,FALSE)</f>
        <v>#N/A</v>
      </c>
    </row>
    <row r="25" spans="1:5">
      <c r="A25" s="114">
        <v>18</v>
      </c>
      <c r="B25" s="110" t="s">
        <v>12</v>
      </c>
      <c r="C25" s="105" t="e">
        <f>VLOOKUP(Table257519913140106110151155170178204251[[#This Row],[PEG]],Table1016[#All],2,FALSE)</f>
        <v>#N/A</v>
      </c>
      <c r="D25" s="113"/>
      <c r="E25" s="122" t="e">
        <f>VLOOKUP(Table257519913140106110151155170178204251[[#This Row],[PEG]],Table1016[#All],3,FALSE)</f>
        <v>#N/A</v>
      </c>
    </row>
    <row r="26" spans="1:5">
      <c r="A26" s="114">
        <v>19</v>
      </c>
      <c r="B26" s="110" t="s">
        <v>12</v>
      </c>
      <c r="C26" s="105" t="e">
        <f>VLOOKUP(Table257519913140106110151155170178204251[[#This Row],[PEG]],Table1016[#All],2,FALSE)</f>
        <v>#N/A</v>
      </c>
      <c r="D26" s="113"/>
      <c r="E26" s="122" t="e">
        <f>VLOOKUP(Table257519913140106110151155170178204251[[#This Row],[PEG]],Table1016[#All],3,FALSE)</f>
        <v>#N/A</v>
      </c>
    </row>
    <row r="27" spans="1:5">
      <c r="A27" s="114">
        <v>20</v>
      </c>
      <c r="B27" s="110" t="s">
        <v>115</v>
      </c>
      <c r="C27" s="105" t="e">
        <f>VLOOKUP(Table257519913140106110151155170178204251[[#This Row],[PEG]],Table1016[#All],2,FALSE)</f>
        <v>#N/A</v>
      </c>
      <c r="D27" s="113"/>
      <c r="E27" s="122" t="e">
        <f>VLOOKUP(Table257519913140106110151155170178204251[[#This Row],[PEG]],Table1016[#All],3,FALSE)</f>
        <v>#N/A</v>
      </c>
    </row>
    <row r="28" spans="1:5">
      <c r="A28" s="114">
        <v>21</v>
      </c>
      <c r="B28" s="110" t="s">
        <v>114</v>
      </c>
      <c r="C28" s="105" t="e">
        <f>VLOOKUP(Table257519913140106110151155170178204251[[#This Row],[PEG]],Table1016[#All],2,FALSE)</f>
        <v>#N/A</v>
      </c>
      <c r="D28" s="113"/>
      <c r="E28" s="122" t="e">
        <f>VLOOKUP(Table257519913140106110151155170178204251[[#This Row],[PEG]],Table1016[#All],3,FALSE)</f>
        <v>#N/A</v>
      </c>
    </row>
    <row r="29" spans="1:5">
      <c r="A29" s="114">
        <v>22</v>
      </c>
      <c r="B29" s="110" t="s">
        <v>12</v>
      </c>
      <c r="C29" s="105" t="e">
        <f>VLOOKUP(Table257519913140106110151155170178204251[[#This Row],[PEG]],Table1016[#All],2,FALSE)</f>
        <v>#N/A</v>
      </c>
      <c r="D29" s="113"/>
      <c r="E29" s="122" t="e">
        <f>VLOOKUP(Table257519913140106110151155170178204251[[#This Row],[PEG]],Table1016[#All],3,FALSE)</f>
        <v>#N/A</v>
      </c>
    </row>
    <row r="30" spans="1:5">
      <c r="A30" s="114">
        <v>23</v>
      </c>
      <c r="B30" s="110" t="s">
        <v>12</v>
      </c>
      <c r="C30" s="105" t="e">
        <f>VLOOKUP(Table257519913140106110151155170178204251[[#This Row],[PEG]],Table1016[#All],2,FALSE)</f>
        <v>#N/A</v>
      </c>
      <c r="D30" s="113"/>
      <c r="E30" s="122" t="e">
        <f>VLOOKUP(Table257519913140106110151155170178204251[[#This Row],[PEG]],Table1016[#All],3,FALSE)</f>
        <v>#N/A</v>
      </c>
    </row>
    <row r="31" spans="1:5">
      <c r="A31" s="114">
        <v>24</v>
      </c>
      <c r="B31" s="110" t="s">
        <v>115</v>
      </c>
      <c r="C31" s="105" t="e">
        <f>VLOOKUP(Table257519913140106110151155170178204251[[#This Row],[PEG]],Table1016[#All],2,FALSE)</f>
        <v>#N/A</v>
      </c>
      <c r="D31" s="113"/>
      <c r="E31" s="122" t="e">
        <f>VLOOKUP(Table257519913140106110151155170178204251[[#This Row],[PEG]],Table1016[#All],3,FALSE)</f>
        <v>#N/A</v>
      </c>
    </row>
    <row r="32" spans="1:5">
      <c r="A32" s="114">
        <v>25</v>
      </c>
      <c r="B32" s="110" t="s">
        <v>115</v>
      </c>
      <c r="C32" s="105" t="e">
        <f>VLOOKUP(Table257519913140106110151155170178204251[[#This Row],[PEG]],Table1016[#All],2,FALSE)</f>
        <v>#N/A</v>
      </c>
      <c r="D32" s="113"/>
      <c r="E32" s="122" t="e">
        <f>VLOOKUP(Table257519913140106110151155170178204251[[#This Row],[PEG]],Table1016[#All],3,FALSE)</f>
        <v>#N/A</v>
      </c>
    </row>
    <row r="33" spans="1:5">
      <c r="A33" s="114">
        <v>26</v>
      </c>
      <c r="B33" s="110" t="s">
        <v>124</v>
      </c>
      <c r="C33" s="105" t="e">
        <f>VLOOKUP(Table257519913140106110151155170178204251[[#This Row],[PEG]],Table1016[#All],2,FALSE)</f>
        <v>#N/A</v>
      </c>
      <c r="D33" s="113"/>
      <c r="E33" s="122" t="e">
        <f>VLOOKUP(Table257519913140106110151155170178204251[[#This Row],[PEG]],Table1016[#All],3,FALSE)</f>
        <v>#N/A</v>
      </c>
    </row>
    <row r="34" spans="1:5">
      <c r="A34" s="114">
        <v>27</v>
      </c>
      <c r="B34" s="110" t="s">
        <v>115</v>
      </c>
      <c r="C34" s="105" t="e">
        <f>VLOOKUP(Table257519913140106110151155170178204251[[#This Row],[PEG]],Table1016[#All],2,FALSE)</f>
        <v>#N/A</v>
      </c>
      <c r="D34" s="113"/>
      <c r="E34" s="122" t="e">
        <f>VLOOKUP(Table257519913140106110151155170178204251[[#This Row],[PEG]],Table1016[#All],3,FALSE)</f>
        <v>#N/A</v>
      </c>
    </row>
    <row r="35" spans="1:5">
      <c r="A35" s="114">
        <v>28</v>
      </c>
      <c r="B35" s="110" t="s">
        <v>124</v>
      </c>
      <c r="C35" s="105" t="e">
        <f>VLOOKUP(Table257519913140106110151155170178204251[[#This Row],[PEG]],Table1016[#All],2,FALSE)</f>
        <v>#N/A</v>
      </c>
      <c r="D35" s="113"/>
      <c r="E35" s="122" t="e">
        <f>VLOOKUP(Table257519913140106110151155170178204251[[#This Row],[PEG]],Table1016[#All],3,FALSE)</f>
        <v>#N/A</v>
      </c>
    </row>
    <row r="36" spans="1:5">
      <c r="A36" s="114">
        <v>29</v>
      </c>
      <c r="B36" s="110" t="s">
        <v>115</v>
      </c>
      <c r="C36" s="105" t="e">
        <f>VLOOKUP(Table257519913140106110151155170178204251[[#This Row],[PEG]],Table1016[#All],2,FALSE)</f>
        <v>#N/A</v>
      </c>
      <c r="D36" s="113"/>
      <c r="E36" s="122" t="e">
        <f>VLOOKUP(Table257519913140106110151155170178204251[[#This Row],[PEG]],Table1016[#All],3,FALSE)</f>
        <v>#N/A</v>
      </c>
    </row>
    <row r="37" spans="1:5">
      <c r="A37" s="114">
        <v>30</v>
      </c>
      <c r="B37" s="110" t="s">
        <v>12</v>
      </c>
      <c r="C37" s="105" t="e">
        <f>VLOOKUP(Table257519913140106110151155170178204251[[#This Row],[PEG]],Table1016[#All],2,FALSE)</f>
        <v>#N/A</v>
      </c>
      <c r="D37" s="113"/>
      <c r="E37" s="122" t="e">
        <f>VLOOKUP(Table257519913140106110151155170178204251[[#This Row],[PEG]],Table1016[#All],3,FALSE)</f>
        <v>#N/A</v>
      </c>
    </row>
    <row r="38" spans="1:5">
      <c r="A38" s="114">
        <v>31</v>
      </c>
      <c r="B38" s="110" t="s">
        <v>12</v>
      </c>
      <c r="C38" s="105" t="e">
        <f>VLOOKUP(Table257519913140106110151155170178204251[[#This Row],[PEG]],Table1016[#All],2,FALSE)</f>
        <v>#N/A</v>
      </c>
      <c r="D38" s="113"/>
      <c r="E38" s="122" t="e">
        <f>VLOOKUP(Table257519913140106110151155170178204251[[#This Row],[PEG]],Table1016[#All],3,FALSE)</f>
        <v>#N/A</v>
      </c>
    </row>
    <row r="39" spans="1:5">
      <c r="A39" s="114">
        <v>32</v>
      </c>
      <c r="B39" s="110" t="s">
        <v>12</v>
      </c>
      <c r="C39" s="105" t="e">
        <f>VLOOKUP(Table257519913140106110151155170178204251[[#This Row],[PEG]],Table1016[#All],2,FALSE)</f>
        <v>#N/A</v>
      </c>
      <c r="D39" s="113"/>
      <c r="E39" s="122" t="e">
        <f>VLOOKUP(Table257519913140106110151155170178204251[[#This Row],[PEG]],Table1016[#All],3,FALSE)</f>
        <v>#N/A</v>
      </c>
    </row>
    <row r="40" spans="1:5">
      <c r="A40" s="114">
        <v>33</v>
      </c>
      <c r="B40" s="110" t="s">
        <v>12</v>
      </c>
      <c r="C40" s="105" t="e">
        <f>VLOOKUP(Table257519913140106110151155170178204251[[#This Row],[PEG]],Table1016[#All],2,FALSE)</f>
        <v>#N/A</v>
      </c>
      <c r="D40" s="113"/>
      <c r="E40" s="122" t="e">
        <f>VLOOKUP(Table257519913140106110151155170178204251[[#This Row],[PEG]],Table1016[#All],3,FALSE)</f>
        <v>#N/A</v>
      </c>
    </row>
    <row r="41" spans="1:5">
      <c r="A41" s="114">
        <v>34</v>
      </c>
      <c r="B41" s="110" t="s">
        <v>115</v>
      </c>
      <c r="C41" s="105" t="e">
        <f>VLOOKUP(Table257519913140106110151155170178204251[[#This Row],[PEG]],Table1016[#All],2,FALSE)</f>
        <v>#N/A</v>
      </c>
      <c r="D41" s="113"/>
      <c r="E41" s="122" t="e">
        <f>VLOOKUP(Table257519913140106110151155170178204251[[#This Row],[PEG]],Table1016[#All],3,FALSE)</f>
        <v>#N/A</v>
      </c>
    </row>
    <row r="42" spans="1:5">
      <c r="A42" s="114">
        <v>35</v>
      </c>
      <c r="B42" s="110" t="s">
        <v>12</v>
      </c>
      <c r="C42" s="105" t="e">
        <f>VLOOKUP(Table257519913140106110151155170178204251[[#This Row],[PEG]],Table1016[#All],2,FALSE)</f>
        <v>#N/A</v>
      </c>
      <c r="D42" s="111"/>
      <c r="E42" s="122" t="e">
        <f>VLOOKUP(Table257519913140106110151155170178204251[[#This Row],[PEG]],Table1016[#All],3,FALSE)</f>
        <v>#N/A</v>
      </c>
    </row>
    <row r="43" spans="1:5">
      <c r="A43" s="114">
        <v>36</v>
      </c>
      <c r="B43" s="110" t="s">
        <v>115</v>
      </c>
      <c r="C43" s="105" t="e">
        <f>VLOOKUP(Table257519913140106110151155170178204251[[#This Row],[PEG]],Table1016[#All],2,FALSE)</f>
        <v>#N/A</v>
      </c>
      <c r="D43" s="111"/>
      <c r="E43" s="122" t="e">
        <f>VLOOKUP(Table257519913140106110151155170178204251[[#This Row],[PEG]],Table1016[#All],3,FALSE)</f>
        <v>#N/A</v>
      </c>
    </row>
    <row r="44" spans="1:5">
      <c r="A44" s="114">
        <v>37</v>
      </c>
      <c r="B44" s="110" t="s">
        <v>13</v>
      </c>
      <c r="C44" s="17" t="s">
        <v>13</v>
      </c>
      <c r="D44" s="111"/>
      <c r="E44" s="31"/>
    </row>
  </sheetData>
  <mergeCells count="1">
    <mergeCell ref="A1:B1"/>
  </mergeCells>
  <conditionalFormatting sqref="B8:B18">
    <cfRule type="containsText" dxfId="804" priority="1" operator="containsText" text="Hear">
      <formula>NOT(ISERROR(SEARCH("Hear",B8)))</formula>
    </cfRule>
  </conditionalFormatting>
  <conditionalFormatting sqref="B30">
    <cfRule type="containsText" dxfId="803" priority="4" operator="containsText" text="Hear">
      <formula>NOT(ISERROR(SEARCH("Hear",B30)))</formula>
    </cfRule>
  </conditionalFormatting>
  <conditionalFormatting sqref="B43:B44">
    <cfRule type="containsText" dxfId="802" priority="8" operator="containsText" text="Hear">
      <formula>NOT(ISERROR(SEARCH("Hear",B43)))</formula>
    </cfRule>
  </conditionalFormatting>
  <conditionalFormatting sqref="E44">
    <cfRule type="containsText" dxfId="801" priority="6" operator="containsText" text="WEB SERVICE">
      <formula>NOT(ISERROR(SEARCH("WEB SERVICE",E44)))</formula>
    </cfRule>
    <cfRule type="containsText" dxfId="800" priority="7" operator="containsText" text="DB">
      <formula>NOT(ISERROR(SEARCH("DB",E44)))</formula>
    </cfRule>
  </conditionalFormatting>
  <conditionalFormatting sqref="C44">
    <cfRule type="expression" dxfId="799" priority="9">
      <formula>$B44="Dial"</formula>
    </cfRule>
  </conditionalFormatting>
  <conditionalFormatting sqref="C44">
    <cfRule type="expression" dxfId="798" priority="3">
      <formula>$B44="Speak"</formula>
    </cfRule>
  </conditionalFormatting>
  <conditionalFormatting sqref="B19:B29 B31:B35 B42">
    <cfRule type="containsText" dxfId="797" priority="5" operator="containsText" text="Hear">
      <formula>NOT(ISERROR(SEARCH("Hear",B19)))</formula>
    </cfRule>
  </conditionalFormatting>
  <hyperlinks>
    <hyperlink ref="A1" location="'Test Case Overview'!A1" display="Return to Test Case Overview" xr:uid="{00000000-0004-0000-AB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FA20E984-09A7-4915-8368-50D599F0F440}">
            <xm:f>'TC1'!$B8="HANGUP"</xm:f>
            <x14:dxf>
              <font>
                <b/>
                <i val="0"/>
              </font>
            </x14:dxf>
          </x14:cfRule>
          <xm:sqref>C8</xm:sqref>
        </x14:conditionalFormatting>
        <x14:conditionalFormatting xmlns:xm="http://schemas.microsoft.com/office/excel/2006/main">
          <x14:cfRule type="expression" priority="3333" id="{FA20E984-09A7-4915-8368-50D599F0F440}">
            <xm:f>'TC1'!$B14="HANGUP"</xm:f>
            <x14:dxf>
              <font>
                <b/>
                <i val="0"/>
              </font>
            </x14:dxf>
          </x14:cfRule>
          <xm:sqref>C34:C43</xm:sqref>
        </x14:conditionalFormatting>
        <x14:conditionalFormatting xmlns:xm="http://schemas.microsoft.com/office/excel/2006/main">
          <x14:cfRule type="expression" priority="3334" id="{FA20E984-09A7-4915-8368-50D599F0F440}">
            <xm:f>'TC1'!#REF!="HANGUP"</xm:f>
            <x14:dxf>
              <font>
                <b/>
                <i val="0"/>
              </font>
            </x14:dxf>
          </x14:cfRule>
          <xm:sqref>C13:C33</xm:sqref>
        </x14:conditionalFormatting>
        <x14:conditionalFormatting xmlns:xm="http://schemas.microsoft.com/office/excel/2006/main">
          <x14:cfRule type="expression" priority="4593" id="{FA20E984-09A7-4915-8368-50D599F0F440}">
            <xm:f>'TC1'!$B10="HANGUP"</xm:f>
            <x14:dxf>
              <font>
                <b/>
                <i val="0"/>
              </font>
            </x14:dxf>
          </x14:cfRule>
          <xm:sqref>C9:C12</xm:sqref>
        </x14:conditionalFormatting>
      </x14:conditionalFormattings>
    </ext>
  </extLst>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C00-000000000000}">
  <sheetPr codeName="Sheet174"/>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TC172</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VLOOKUP(Table257519913140106110151155170178204253[[#This Row],[PEG]],Table1016[#All],2,FALSE)</f>
        <v>#N/A</v>
      </c>
      <c r="D9" s="125"/>
      <c r="E9" s="122" t="e">
        <f>VLOOKUP(Table257519913140106110151155170178204253[[#This Row],[PEG]],Table1016[#All],3,FALSE)</f>
        <v>#N/A</v>
      </c>
    </row>
    <row r="10" spans="1:5">
      <c r="A10" s="114">
        <v>3</v>
      </c>
      <c r="B10" s="110" t="s">
        <v>115</v>
      </c>
      <c r="C10" s="105" t="e">
        <f>VLOOKUP(Table257519913140106110151155170178204253[[#This Row],[PEG]],Table1016[#All],2,FALSE)</f>
        <v>#N/A</v>
      </c>
      <c r="D10" s="125"/>
      <c r="E10" s="122" t="e">
        <f>VLOOKUP(Table257519913140106110151155170178204253[[#This Row],[PEG]],Table1016[#All],3,FALSE)</f>
        <v>#N/A</v>
      </c>
    </row>
    <row r="11" spans="1:5">
      <c r="A11" s="114">
        <v>4</v>
      </c>
      <c r="B11" s="110" t="s">
        <v>115</v>
      </c>
      <c r="C11" s="105" t="e">
        <f>VLOOKUP(Table257519913140106110151155170178204253[[#This Row],[PEG]],Table1016[#All],2,FALSE)</f>
        <v>#N/A</v>
      </c>
      <c r="D11" s="125"/>
      <c r="E11" s="122" t="e">
        <f>VLOOKUP(Table257519913140106110151155170178204253[[#This Row],[PEG]],Table1016[#All],3,FALSE)</f>
        <v>#N/A</v>
      </c>
    </row>
    <row r="12" spans="1:5">
      <c r="A12" s="114">
        <v>5</v>
      </c>
      <c r="B12" s="110" t="s">
        <v>114</v>
      </c>
      <c r="C12" s="105" t="e">
        <f>VLOOKUP(Table257519913140106110151155170178204253[[#This Row],[PEG]],Table1016[#All],2,FALSE)</f>
        <v>#N/A</v>
      </c>
      <c r="D12" s="125"/>
      <c r="E12" s="122" t="e">
        <f>VLOOKUP(Table257519913140106110151155170178204253[[#This Row],[PEG]],Table1016[#All],3,FALSE)</f>
        <v>#N/A</v>
      </c>
    </row>
    <row r="13" spans="1:5">
      <c r="A13" s="114">
        <v>6</v>
      </c>
      <c r="B13" s="110" t="s">
        <v>115</v>
      </c>
      <c r="C13" s="105" t="e">
        <f>VLOOKUP(Table257519913140106110151155170178204253[[#This Row],[PEG]],Table1016[#All],2,FALSE)</f>
        <v>#N/A</v>
      </c>
      <c r="D13" s="125"/>
      <c r="E13" s="122" t="e">
        <f>VLOOKUP(Table257519913140106110151155170178204253[[#This Row],[PEG]],Table1016[#All],3,FALSE)</f>
        <v>#N/A</v>
      </c>
    </row>
    <row r="14" spans="1:5">
      <c r="A14" s="114">
        <v>7</v>
      </c>
      <c r="B14" s="110" t="s">
        <v>114</v>
      </c>
      <c r="C14" s="105" t="e">
        <f>VLOOKUP(Table257519913140106110151155170178204253[[#This Row],[PEG]],Table1016[#All],2,FALSE)</f>
        <v>#N/A</v>
      </c>
      <c r="D14" s="125"/>
      <c r="E14" s="122" t="e">
        <f>VLOOKUP(Table257519913140106110151155170178204253[[#This Row],[PEG]],Table1016[#All],3,FALSE)</f>
        <v>#N/A</v>
      </c>
    </row>
    <row r="15" spans="1:5">
      <c r="A15" s="114">
        <v>8</v>
      </c>
      <c r="B15" s="110" t="s">
        <v>115</v>
      </c>
      <c r="C15" s="105" t="e">
        <f>VLOOKUP(Table257519913140106110151155170178204253[[#This Row],[PEG]],Table1016[#All],2,FALSE)</f>
        <v>#N/A</v>
      </c>
      <c r="D15" s="112"/>
      <c r="E15" s="122" t="e">
        <f>VLOOKUP(Table257519913140106110151155170178204253[[#This Row],[PEG]],Table1016[#All],3,FALSE)</f>
        <v>#N/A</v>
      </c>
    </row>
    <row r="16" spans="1:5">
      <c r="A16" s="114">
        <v>9</v>
      </c>
      <c r="B16" s="110" t="s">
        <v>12</v>
      </c>
      <c r="C16" s="105" t="e">
        <f>VLOOKUP(Table257519913140106110151155170178204253[[#This Row],[PEG]],Table1016[#All],2,FALSE)</f>
        <v>#N/A</v>
      </c>
      <c r="D16" s="112"/>
      <c r="E16" s="122" t="e">
        <f>VLOOKUP(Table257519913140106110151155170178204253[[#This Row],[PEG]],Table1016[#All],3,FALSE)</f>
        <v>#N/A</v>
      </c>
    </row>
    <row r="17" spans="1:5">
      <c r="A17" s="114">
        <v>10</v>
      </c>
      <c r="B17" s="110" t="s">
        <v>12</v>
      </c>
      <c r="C17" s="105" t="e">
        <f>VLOOKUP(Table257519913140106110151155170178204253[[#This Row],[PEG]],Table1016[#All],2,FALSE)</f>
        <v>#N/A</v>
      </c>
      <c r="D17" s="113"/>
      <c r="E17" s="122" t="e">
        <f>VLOOKUP(Table257519913140106110151155170178204253[[#This Row],[PEG]],Table1016[#All],3,FALSE)</f>
        <v>#N/A</v>
      </c>
    </row>
    <row r="18" spans="1:5">
      <c r="A18" s="114">
        <v>11</v>
      </c>
      <c r="B18" s="110" t="s">
        <v>115</v>
      </c>
      <c r="C18" s="105" t="e">
        <f>VLOOKUP(Table257519913140106110151155170178204253[[#This Row],[PEG]],Table1016[#All],2,FALSE)</f>
        <v>#N/A</v>
      </c>
      <c r="D18" s="113"/>
      <c r="E18" s="122" t="e">
        <f>VLOOKUP(Table257519913140106110151155170178204253[[#This Row],[PEG]],Table1016[#All],3,FALSE)</f>
        <v>#N/A</v>
      </c>
    </row>
    <row r="19" spans="1:5">
      <c r="A19" s="114">
        <v>12</v>
      </c>
      <c r="B19" s="110" t="s">
        <v>115</v>
      </c>
      <c r="C19" s="105" t="e">
        <f>VLOOKUP(Table257519913140106110151155170178204253[[#This Row],[PEG]],Table1016[#All],2,FALSE)</f>
        <v>#N/A</v>
      </c>
      <c r="D19" s="113"/>
      <c r="E19" s="122" t="e">
        <f>VLOOKUP(Table257519913140106110151155170178204253[[#This Row],[PEG]],Table1016[#All],3,FALSE)</f>
        <v>#N/A</v>
      </c>
    </row>
    <row r="20" spans="1:5">
      <c r="A20" s="114">
        <v>13</v>
      </c>
      <c r="B20" s="110" t="s">
        <v>114</v>
      </c>
      <c r="C20" s="105" t="e">
        <f>VLOOKUP(Table257519913140106110151155170178204253[[#This Row],[PEG]],Table1016[#All],2,FALSE)</f>
        <v>#N/A</v>
      </c>
      <c r="D20" s="113"/>
      <c r="E20" s="122" t="e">
        <f>VLOOKUP(Table257519913140106110151155170178204253[[#This Row],[PEG]],Table1016[#All],3,FALSE)</f>
        <v>#N/A</v>
      </c>
    </row>
    <row r="21" spans="1:5">
      <c r="A21" s="114">
        <v>14</v>
      </c>
      <c r="B21" s="110" t="s">
        <v>12</v>
      </c>
      <c r="C21" s="105" t="e">
        <f>VLOOKUP(Table257519913140106110151155170178204253[[#This Row],[PEG]],Table1016[#All],2,FALSE)</f>
        <v>#N/A</v>
      </c>
      <c r="D21" s="113"/>
      <c r="E21" s="122" t="e">
        <f>VLOOKUP(Table257519913140106110151155170178204253[[#This Row],[PEG]],Table1016[#All],3,FALSE)</f>
        <v>#N/A</v>
      </c>
    </row>
    <row r="22" spans="1:5">
      <c r="A22" s="114">
        <v>15</v>
      </c>
      <c r="B22" s="110" t="s">
        <v>12</v>
      </c>
      <c r="C22" s="105" t="e">
        <f>VLOOKUP(Table257519913140106110151155170178204253[[#This Row],[PEG]],Table1016[#All],2,FALSE)</f>
        <v>#N/A</v>
      </c>
      <c r="D22" s="113"/>
      <c r="E22" s="122" t="e">
        <f>VLOOKUP(Table257519913140106110151155170178204253[[#This Row],[PEG]],Table1016[#All],3,FALSE)</f>
        <v>#N/A</v>
      </c>
    </row>
    <row r="23" spans="1:5">
      <c r="A23" s="114">
        <v>16</v>
      </c>
      <c r="B23" s="110" t="s">
        <v>115</v>
      </c>
      <c r="C23" s="105" t="e">
        <f>VLOOKUP(Table257519913140106110151155170178204253[[#This Row],[PEG]],Table1016[#All],2,FALSE)</f>
        <v>#N/A</v>
      </c>
      <c r="D23" s="113"/>
      <c r="E23" s="122" t="e">
        <f>VLOOKUP(Table257519913140106110151155170178204253[[#This Row],[PEG]],Table1016[#All],3,FALSE)</f>
        <v>#N/A</v>
      </c>
    </row>
    <row r="24" spans="1:5">
      <c r="A24" s="114">
        <v>17</v>
      </c>
      <c r="B24" s="110" t="s">
        <v>114</v>
      </c>
      <c r="C24" s="105" t="e">
        <f>VLOOKUP(Table257519913140106110151155170178204253[[#This Row],[PEG]],Table1016[#All],2,FALSE)</f>
        <v>#N/A</v>
      </c>
      <c r="D24" s="113"/>
      <c r="E24" s="122" t="e">
        <f>VLOOKUP(Table257519913140106110151155170178204253[[#This Row],[PEG]],Table1016[#All],3,FALSE)</f>
        <v>#N/A</v>
      </c>
    </row>
    <row r="25" spans="1:5">
      <c r="A25" s="114">
        <v>18</v>
      </c>
      <c r="B25" s="110" t="s">
        <v>12</v>
      </c>
      <c r="C25" s="105" t="e">
        <f>VLOOKUP(Table257519913140106110151155170178204253[[#This Row],[PEG]],Table1016[#All],2,FALSE)</f>
        <v>#N/A</v>
      </c>
      <c r="D25" s="113"/>
      <c r="E25" s="122" t="e">
        <f>VLOOKUP(Table257519913140106110151155170178204253[[#This Row],[PEG]],Table1016[#All],3,FALSE)</f>
        <v>#N/A</v>
      </c>
    </row>
    <row r="26" spans="1:5">
      <c r="A26" s="114">
        <v>19</v>
      </c>
      <c r="B26" s="110" t="s">
        <v>12</v>
      </c>
      <c r="C26" s="105" t="e">
        <f>VLOOKUP(Table257519913140106110151155170178204253[[#This Row],[PEG]],Table1016[#All],2,FALSE)</f>
        <v>#N/A</v>
      </c>
      <c r="D26" s="113"/>
      <c r="E26" s="122" t="e">
        <f>VLOOKUP(Table257519913140106110151155170178204253[[#This Row],[PEG]],Table1016[#All],3,FALSE)</f>
        <v>#N/A</v>
      </c>
    </row>
    <row r="27" spans="1:5">
      <c r="A27" s="114">
        <v>20</v>
      </c>
      <c r="B27" s="110" t="s">
        <v>115</v>
      </c>
      <c r="C27" s="105" t="e">
        <f>VLOOKUP(Table257519913140106110151155170178204253[[#This Row],[PEG]],Table1016[#All],2,FALSE)</f>
        <v>#N/A</v>
      </c>
      <c r="D27" s="113"/>
      <c r="E27" s="122" t="e">
        <f>VLOOKUP(Table257519913140106110151155170178204253[[#This Row],[PEG]],Table1016[#All],3,FALSE)</f>
        <v>#N/A</v>
      </c>
    </row>
    <row r="28" spans="1:5">
      <c r="A28" s="114">
        <v>21</v>
      </c>
      <c r="B28" s="110" t="s">
        <v>114</v>
      </c>
      <c r="C28" s="105" t="e">
        <f>VLOOKUP(Table257519913140106110151155170178204253[[#This Row],[PEG]],Table1016[#All],2,FALSE)</f>
        <v>#N/A</v>
      </c>
      <c r="D28" s="113"/>
      <c r="E28" s="122" t="e">
        <f>VLOOKUP(Table257519913140106110151155170178204253[[#This Row],[PEG]],Table1016[#All],3,FALSE)</f>
        <v>#N/A</v>
      </c>
    </row>
    <row r="29" spans="1:5">
      <c r="A29" s="114">
        <v>22</v>
      </c>
      <c r="B29" s="110" t="s">
        <v>12</v>
      </c>
      <c r="C29" s="105" t="e">
        <f>VLOOKUP(Table257519913140106110151155170178204253[[#This Row],[PEG]],Table1016[#All],2,FALSE)</f>
        <v>#N/A</v>
      </c>
      <c r="D29" s="113"/>
      <c r="E29" s="122" t="e">
        <f>VLOOKUP(Table257519913140106110151155170178204253[[#This Row],[PEG]],Table1016[#All],3,FALSE)</f>
        <v>#N/A</v>
      </c>
    </row>
    <row r="30" spans="1:5">
      <c r="A30" s="114">
        <v>23</v>
      </c>
      <c r="B30" s="110" t="s">
        <v>12</v>
      </c>
      <c r="C30" s="105" t="e">
        <f>VLOOKUP(Table257519913140106110151155170178204253[[#This Row],[PEG]],Table1016[#All],2,FALSE)</f>
        <v>#N/A</v>
      </c>
      <c r="D30" s="113"/>
      <c r="E30" s="122" t="e">
        <f>VLOOKUP(Table257519913140106110151155170178204253[[#This Row],[PEG]],Table1016[#All],3,FALSE)</f>
        <v>#N/A</v>
      </c>
    </row>
    <row r="31" spans="1:5">
      <c r="A31" s="114">
        <v>24</v>
      </c>
      <c r="B31" s="110" t="s">
        <v>115</v>
      </c>
      <c r="C31" s="105" t="e">
        <f>VLOOKUP(Table257519913140106110151155170178204253[[#This Row],[PEG]],Table1016[#All],2,FALSE)</f>
        <v>#N/A</v>
      </c>
      <c r="D31" s="113"/>
      <c r="E31" s="122" t="e">
        <f>VLOOKUP(Table257519913140106110151155170178204253[[#This Row],[PEG]],Table1016[#All],3,FALSE)</f>
        <v>#N/A</v>
      </c>
    </row>
    <row r="32" spans="1:5">
      <c r="A32" s="114">
        <v>25</v>
      </c>
      <c r="B32" s="110" t="s">
        <v>115</v>
      </c>
      <c r="C32" s="105" t="e">
        <f>VLOOKUP(Table257519913140106110151155170178204253[[#This Row],[PEG]],Table1016[#All],2,FALSE)</f>
        <v>#N/A</v>
      </c>
      <c r="D32" s="113"/>
      <c r="E32" s="122" t="e">
        <f>VLOOKUP(Table257519913140106110151155170178204253[[#This Row],[PEG]],Table1016[#All],3,FALSE)</f>
        <v>#N/A</v>
      </c>
    </row>
    <row r="33" spans="1:5">
      <c r="A33" s="114">
        <v>26</v>
      </c>
      <c r="B33" s="110" t="s">
        <v>124</v>
      </c>
      <c r="C33" s="105" t="e">
        <f>VLOOKUP(Table257519913140106110151155170178204253[[#This Row],[PEG]],Table1016[#All],2,FALSE)</f>
        <v>#N/A</v>
      </c>
      <c r="D33" s="113"/>
      <c r="E33" s="122" t="e">
        <f>VLOOKUP(Table257519913140106110151155170178204253[[#This Row],[PEG]],Table1016[#All],3,FALSE)</f>
        <v>#N/A</v>
      </c>
    </row>
    <row r="34" spans="1:5">
      <c r="A34" s="114">
        <v>27</v>
      </c>
      <c r="B34" s="110" t="s">
        <v>115</v>
      </c>
      <c r="C34" s="105" t="e">
        <f>VLOOKUP(Table257519913140106110151155170178204253[[#This Row],[PEG]],Table1016[#All],2,FALSE)</f>
        <v>#N/A</v>
      </c>
      <c r="D34" s="113"/>
      <c r="E34" s="122" t="e">
        <f>VLOOKUP(Table257519913140106110151155170178204253[[#This Row],[PEG]],Table1016[#All],3,FALSE)</f>
        <v>#N/A</v>
      </c>
    </row>
    <row r="35" spans="1:5">
      <c r="A35" s="114">
        <v>28</v>
      </c>
      <c r="B35" s="110" t="s">
        <v>124</v>
      </c>
      <c r="C35" s="105" t="e">
        <f>VLOOKUP(Table257519913140106110151155170178204253[[#This Row],[PEG]],Table1016[#All],2,FALSE)</f>
        <v>#N/A</v>
      </c>
      <c r="D35" s="113"/>
      <c r="E35" s="122" t="e">
        <f>VLOOKUP(Table257519913140106110151155170178204253[[#This Row],[PEG]],Table1016[#All],3,FALSE)</f>
        <v>#N/A</v>
      </c>
    </row>
    <row r="36" spans="1:5">
      <c r="A36" s="114">
        <v>29</v>
      </c>
      <c r="B36" s="110" t="s">
        <v>115</v>
      </c>
      <c r="C36" s="105" t="e">
        <f>VLOOKUP(Table257519913140106110151155170178204253[[#This Row],[PEG]],Table1016[#All],2,FALSE)</f>
        <v>#N/A</v>
      </c>
      <c r="D36" s="113"/>
      <c r="E36" s="122" t="e">
        <f>VLOOKUP(Table257519913140106110151155170178204253[[#This Row],[PEG]],Table1016[#All],3,FALSE)</f>
        <v>#N/A</v>
      </c>
    </row>
    <row r="37" spans="1:5">
      <c r="A37" s="114">
        <v>30</v>
      </c>
      <c r="B37" s="110" t="s">
        <v>12</v>
      </c>
      <c r="C37" s="105" t="e">
        <f>VLOOKUP(Table257519913140106110151155170178204253[[#This Row],[PEG]],Table1016[#All],2,FALSE)</f>
        <v>#N/A</v>
      </c>
      <c r="D37" s="113"/>
      <c r="E37" s="122" t="e">
        <f>VLOOKUP(Table257519913140106110151155170178204253[[#This Row],[PEG]],Table1016[#All],3,FALSE)</f>
        <v>#N/A</v>
      </c>
    </row>
    <row r="38" spans="1:5">
      <c r="A38" s="114">
        <v>31</v>
      </c>
      <c r="B38" s="110" t="s">
        <v>12</v>
      </c>
      <c r="C38" s="105" t="e">
        <f>VLOOKUP(Table257519913140106110151155170178204253[[#This Row],[PEG]],Table1016[#All],2,FALSE)</f>
        <v>#N/A</v>
      </c>
      <c r="D38" s="113"/>
      <c r="E38" s="122" t="e">
        <f>VLOOKUP(Table257519913140106110151155170178204253[[#This Row],[PEG]],Table1016[#All],3,FALSE)</f>
        <v>#N/A</v>
      </c>
    </row>
    <row r="39" spans="1:5">
      <c r="A39" s="114">
        <v>32</v>
      </c>
      <c r="B39" s="110" t="s">
        <v>12</v>
      </c>
      <c r="C39" s="105" t="e">
        <f>VLOOKUP(Table257519913140106110151155170178204253[[#This Row],[PEG]],Table1016[#All],2,FALSE)</f>
        <v>#N/A</v>
      </c>
      <c r="D39" s="113"/>
      <c r="E39" s="122" t="e">
        <f>VLOOKUP(Table257519913140106110151155170178204253[[#This Row],[PEG]],Table1016[#All],3,FALSE)</f>
        <v>#N/A</v>
      </c>
    </row>
    <row r="40" spans="1:5">
      <c r="A40" s="114">
        <v>33</v>
      </c>
      <c r="B40" s="110" t="s">
        <v>12</v>
      </c>
      <c r="C40" s="105" t="e">
        <f>VLOOKUP(Table257519913140106110151155170178204253[[#This Row],[PEG]],Table1016[#All],2,FALSE)</f>
        <v>#N/A</v>
      </c>
      <c r="D40" s="113"/>
      <c r="E40" s="122" t="e">
        <f>VLOOKUP(Table257519913140106110151155170178204253[[#This Row],[PEG]],Table1016[#All],3,FALSE)</f>
        <v>#N/A</v>
      </c>
    </row>
    <row r="41" spans="1:5">
      <c r="A41" s="114">
        <v>34</v>
      </c>
      <c r="B41" s="110" t="s">
        <v>115</v>
      </c>
      <c r="C41" s="105" t="e">
        <f>VLOOKUP(Table257519913140106110151155170178204253[[#This Row],[PEG]],Table1016[#All],2,FALSE)</f>
        <v>#N/A</v>
      </c>
      <c r="D41" s="113"/>
      <c r="E41" s="122" t="e">
        <f>VLOOKUP(Table257519913140106110151155170178204253[[#This Row],[PEG]],Table1016[#All],3,FALSE)</f>
        <v>#N/A</v>
      </c>
    </row>
    <row r="42" spans="1:5">
      <c r="A42" s="114">
        <v>35</v>
      </c>
      <c r="B42" s="110" t="s">
        <v>12</v>
      </c>
      <c r="C42" s="105" t="e">
        <f>VLOOKUP(Table257519913140106110151155170178204253[[#This Row],[PEG]],Table1016[#All],2,FALSE)</f>
        <v>#N/A</v>
      </c>
      <c r="D42" s="111"/>
      <c r="E42" s="122" t="e">
        <f>VLOOKUP(Table257519913140106110151155170178204253[[#This Row],[PEG]],Table1016[#All],3,FALSE)</f>
        <v>#N/A</v>
      </c>
    </row>
    <row r="43" spans="1:5">
      <c r="A43" s="114">
        <v>36</v>
      </c>
      <c r="B43" s="110" t="s">
        <v>115</v>
      </c>
      <c r="C43" s="105" t="e">
        <f>VLOOKUP(Table257519913140106110151155170178204253[[#This Row],[PEG]],Table1016[#All],2,FALSE)</f>
        <v>#N/A</v>
      </c>
      <c r="D43" s="111"/>
      <c r="E43" s="122" t="e">
        <f>VLOOKUP(Table257519913140106110151155170178204253[[#This Row],[PEG]],Table1016[#All],3,FALSE)</f>
        <v>#N/A</v>
      </c>
    </row>
    <row r="44" spans="1:5">
      <c r="A44" s="114">
        <v>37</v>
      </c>
      <c r="B44" s="110" t="s">
        <v>13</v>
      </c>
      <c r="C44" s="17" t="s">
        <v>13</v>
      </c>
      <c r="D44" s="111"/>
      <c r="E44" s="31"/>
    </row>
  </sheetData>
  <mergeCells count="1">
    <mergeCell ref="A1:B1"/>
  </mergeCells>
  <conditionalFormatting sqref="B8:B18">
    <cfRule type="containsText" dxfId="783" priority="1" operator="containsText" text="Hear">
      <formula>NOT(ISERROR(SEARCH("Hear",B8)))</formula>
    </cfRule>
  </conditionalFormatting>
  <conditionalFormatting sqref="B30">
    <cfRule type="containsText" dxfId="782" priority="4" operator="containsText" text="Hear">
      <formula>NOT(ISERROR(SEARCH("Hear",B30)))</formula>
    </cfRule>
  </conditionalFormatting>
  <conditionalFormatting sqref="B43:B44">
    <cfRule type="containsText" dxfId="781" priority="8" operator="containsText" text="Hear">
      <formula>NOT(ISERROR(SEARCH("Hear",B43)))</formula>
    </cfRule>
  </conditionalFormatting>
  <conditionalFormatting sqref="E44">
    <cfRule type="containsText" dxfId="780" priority="6" operator="containsText" text="WEB SERVICE">
      <formula>NOT(ISERROR(SEARCH("WEB SERVICE",E44)))</formula>
    </cfRule>
    <cfRule type="containsText" dxfId="779" priority="7" operator="containsText" text="DB">
      <formula>NOT(ISERROR(SEARCH("DB",E44)))</formula>
    </cfRule>
  </conditionalFormatting>
  <conditionalFormatting sqref="C44">
    <cfRule type="expression" dxfId="778" priority="9">
      <formula>$B44="Dial"</formula>
    </cfRule>
  </conditionalFormatting>
  <conditionalFormatting sqref="C44">
    <cfRule type="expression" dxfId="777" priority="3">
      <formula>$B44="Speak"</formula>
    </cfRule>
  </conditionalFormatting>
  <conditionalFormatting sqref="B19:B29 B31:B35 B42">
    <cfRule type="containsText" dxfId="776" priority="5" operator="containsText" text="Hear">
      <formula>NOT(ISERROR(SEARCH("Hear",B19)))</formula>
    </cfRule>
  </conditionalFormatting>
  <hyperlinks>
    <hyperlink ref="A1" location="'Test Case Overview'!A1" display="Return to Test Case Overview" xr:uid="{00000000-0004-0000-AC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F86F4C3D-F942-439F-9849-45860B8EC290}">
            <xm:f>'TC1'!$B8="HANGUP"</xm:f>
            <x14:dxf>
              <font>
                <b/>
                <i val="0"/>
              </font>
            </x14:dxf>
          </x14:cfRule>
          <xm:sqref>C8</xm:sqref>
        </x14:conditionalFormatting>
        <x14:conditionalFormatting xmlns:xm="http://schemas.microsoft.com/office/excel/2006/main">
          <x14:cfRule type="expression" priority="3337" id="{F86F4C3D-F942-439F-9849-45860B8EC290}">
            <xm:f>'TC1'!$B14="HANGUP"</xm:f>
            <x14:dxf>
              <font>
                <b/>
                <i val="0"/>
              </font>
            </x14:dxf>
          </x14:cfRule>
          <xm:sqref>C34:C43</xm:sqref>
        </x14:conditionalFormatting>
        <x14:conditionalFormatting xmlns:xm="http://schemas.microsoft.com/office/excel/2006/main">
          <x14:cfRule type="expression" priority="3338" id="{F86F4C3D-F942-439F-9849-45860B8EC290}">
            <xm:f>'TC1'!#REF!="HANGUP"</xm:f>
            <x14:dxf>
              <font>
                <b/>
                <i val="0"/>
              </font>
            </x14:dxf>
          </x14:cfRule>
          <xm:sqref>C13:C33</xm:sqref>
        </x14:conditionalFormatting>
        <x14:conditionalFormatting xmlns:xm="http://schemas.microsoft.com/office/excel/2006/main">
          <x14:cfRule type="expression" priority="4595" id="{F86F4C3D-F942-439F-9849-45860B8EC290}">
            <xm:f>'TC1'!$B10="HANGUP"</xm:f>
            <x14:dxf>
              <font>
                <b/>
                <i val="0"/>
              </font>
            </x14:dxf>
          </x14:cfRule>
          <xm:sqref>C9:C12</xm:sqref>
        </x14:conditionalFormatting>
      </x14:conditionalFormattings>
    </ext>
  </extLst>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D00-000000000000}">
  <sheetPr codeName="Sheet175"/>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TC173</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VLOOKUP(Table257519913140106110151155170178204255[[#This Row],[PEG]],Table1016[#All],2,FALSE)</f>
        <v>#N/A</v>
      </c>
      <c r="D9" s="125"/>
      <c r="E9" s="122" t="e">
        <f>VLOOKUP(Table257519913140106110151155170178204255[[#This Row],[PEG]],Table1016[#All],3,FALSE)</f>
        <v>#N/A</v>
      </c>
    </row>
    <row r="10" spans="1:5">
      <c r="A10" s="114">
        <v>3</v>
      </c>
      <c r="B10" s="110" t="s">
        <v>115</v>
      </c>
      <c r="C10" s="105" t="e">
        <f>VLOOKUP(Table257519913140106110151155170178204255[[#This Row],[PEG]],Table1016[#All],2,FALSE)</f>
        <v>#N/A</v>
      </c>
      <c r="D10" s="125"/>
      <c r="E10" s="122" t="e">
        <f>VLOOKUP(Table257519913140106110151155170178204255[[#This Row],[PEG]],Table1016[#All],3,FALSE)</f>
        <v>#N/A</v>
      </c>
    </row>
    <row r="11" spans="1:5">
      <c r="A11" s="114">
        <v>4</v>
      </c>
      <c r="B11" s="110" t="s">
        <v>115</v>
      </c>
      <c r="C11" s="105" t="e">
        <f>VLOOKUP(Table257519913140106110151155170178204255[[#This Row],[PEG]],Table1016[#All],2,FALSE)</f>
        <v>#N/A</v>
      </c>
      <c r="D11" s="125"/>
      <c r="E11" s="122" t="e">
        <f>VLOOKUP(Table257519913140106110151155170178204255[[#This Row],[PEG]],Table1016[#All],3,FALSE)</f>
        <v>#N/A</v>
      </c>
    </row>
    <row r="12" spans="1:5">
      <c r="A12" s="114">
        <v>5</v>
      </c>
      <c r="B12" s="110" t="s">
        <v>114</v>
      </c>
      <c r="C12" s="105" t="e">
        <f>VLOOKUP(Table257519913140106110151155170178204255[[#This Row],[PEG]],Table1016[#All],2,FALSE)</f>
        <v>#N/A</v>
      </c>
      <c r="D12" s="125"/>
      <c r="E12" s="122" t="e">
        <f>VLOOKUP(Table257519913140106110151155170178204255[[#This Row],[PEG]],Table1016[#All],3,FALSE)</f>
        <v>#N/A</v>
      </c>
    </row>
    <row r="13" spans="1:5">
      <c r="A13" s="114">
        <v>6</v>
      </c>
      <c r="B13" s="110" t="s">
        <v>115</v>
      </c>
      <c r="C13" s="105" t="e">
        <f>VLOOKUP(Table257519913140106110151155170178204255[[#This Row],[PEG]],Table1016[#All],2,FALSE)</f>
        <v>#N/A</v>
      </c>
      <c r="D13" s="125"/>
      <c r="E13" s="122" t="e">
        <f>VLOOKUP(Table257519913140106110151155170178204255[[#This Row],[PEG]],Table1016[#All],3,FALSE)</f>
        <v>#N/A</v>
      </c>
    </row>
    <row r="14" spans="1:5">
      <c r="A14" s="114">
        <v>7</v>
      </c>
      <c r="B14" s="110" t="s">
        <v>114</v>
      </c>
      <c r="C14" s="105" t="e">
        <f>VLOOKUP(Table257519913140106110151155170178204255[[#This Row],[PEG]],Table1016[#All],2,FALSE)</f>
        <v>#N/A</v>
      </c>
      <c r="D14" s="125"/>
      <c r="E14" s="122" t="e">
        <f>VLOOKUP(Table257519913140106110151155170178204255[[#This Row],[PEG]],Table1016[#All],3,FALSE)</f>
        <v>#N/A</v>
      </c>
    </row>
    <row r="15" spans="1:5">
      <c r="A15" s="114">
        <v>8</v>
      </c>
      <c r="B15" s="110" t="s">
        <v>115</v>
      </c>
      <c r="C15" s="105" t="e">
        <f>VLOOKUP(Table257519913140106110151155170178204255[[#This Row],[PEG]],Table1016[#All],2,FALSE)</f>
        <v>#N/A</v>
      </c>
      <c r="D15" s="112"/>
      <c r="E15" s="122" t="e">
        <f>VLOOKUP(Table257519913140106110151155170178204255[[#This Row],[PEG]],Table1016[#All],3,FALSE)</f>
        <v>#N/A</v>
      </c>
    </row>
    <row r="16" spans="1:5">
      <c r="A16" s="114">
        <v>9</v>
      </c>
      <c r="B16" s="110" t="s">
        <v>12</v>
      </c>
      <c r="C16" s="105" t="e">
        <f>VLOOKUP(Table257519913140106110151155170178204255[[#This Row],[PEG]],Table1016[#All],2,FALSE)</f>
        <v>#N/A</v>
      </c>
      <c r="D16" s="112"/>
      <c r="E16" s="122" t="e">
        <f>VLOOKUP(Table257519913140106110151155170178204255[[#This Row],[PEG]],Table1016[#All],3,FALSE)</f>
        <v>#N/A</v>
      </c>
    </row>
    <row r="17" spans="1:5">
      <c r="A17" s="114">
        <v>10</v>
      </c>
      <c r="B17" s="110" t="s">
        <v>12</v>
      </c>
      <c r="C17" s="105" t="e">
        <f>VLOOKUP(Table257519913140106110151155170178204255[[#This Row],[PEG]],Table1016[#All],2,FALSE)</f>
        <v>#N/A</v>
      </c>
      <c r="D17" s="113"/>
      <c r="E17" s="122" t="e">
        <f>VLOOKUP(Table257519913140106110151155170178204255[[#This Row],[PEG]],Table1016[#All],3,FALSE)</f>
        <v>#N/A</v>
      </c>
    </row>
    <row r="18" spans="1:5">
      <c r="A18" s="114">
        <v>11</v>
      </c>
      <c r="B18" s="110" t="s">
        <v>115</v>
      </c>
      <c r="C18" s="105" t="e">
        <f>VLOOKUP(Table257519913140106110151155170178204255[[#This Row],[PEG]],Table1016[#All],2,FALSE)</f>
        <v>#N/A</v>
      </c>
      <c r="D18" s="113"/>
      <c r="E18" s="122" t="e">
        <f>VLOOKUP(Table257519913140106110151155170178204255[[#This Row],[PEG]],Table1016[#All],3,FALSE)</f>
        <v>#N/A</v>
      </c>
    </row>
    <row r="19" spans="1:5">
      <c r="A19" s="114">
        <v>12</v>
      </c>
      <c r="B19" s="110" t="s">
        <v>115</v>
      </c>
      <c r="C19" s="105" t="e">
        <f>VLOOKUP(Table257519913140106110151155170178204255[[#This Row],[PEG]],Table1016[#All],2,FALSE)</f>
        <v>#N/A</v>
      </c>
      <c r="D19" s="113"/>
      <c r="E19" s="122" t="e">
        <f>VLOOKUP(Table257519913140106110151155170178204255[[#This Row],[PEG]],Table1016[#All],3,FALSE)</f>
        <v>#N/A</v>
      </c>
    </row>
    <row r="20" spans="1:5">
      <c r="A20" s="114">
        <v>13</v>
      </c>
      <c r="B20" s="110" t="s">
        <v>114</v>
      </c>
      <c r="C20" s="105" t="e">
        <f>VLOOKUP(Table257519913140106110151155170178204255[[#This Row],[PEG]],Table1016[#All],2,FALSE)</f>
        <v>#N/A</v>
      </c>
      <c r="D20" s="113"/>
      <c r="E20" s="122" t="e">
        <f>VLOOKUP(Table257519913140106110151155170178204255[[#This Row],[PEG]],Table1016[#All],3,FALSE)</f>
        <v>#N/A</v>
      </c>
    </row>
    <row r="21" spans="1:5">
      <c r="A21" s="114">
        <v>14</v>
      </c>
      <c r="B21" s="110" t="s">
        <v>12</v>
      </c>
      <c r="C21" s="105" t="e">
        <f>VLOOKUP(Table257519913140106110151155170178204255[[#This Row],[PEG]],Table1016[#All],2,FALSE)</f>
        <v>#N/A</v>
      </c>
      <c r="D21" s="113"/>
      <c r="E21" s="122" t="e">
        <f>VLOOKUP(Table257519913140106110151155170178204255[[#This Row],[PEG]],Table1016[#All],3,FALSE)</f>
        <v>#N/A</v>
      </c>
    </row>
    <row r="22" spans="1:5">
      <c r="A22" s="114">
        <v>15</v>
      </c>
      <c r="B22" s="110" t="s">
        <v>12</v>
      </c>
      <c r="C22" s="105" t="e">
        <f>VLOOKUP(Table257519913140106110151155170178204255[[#This Row],[PEG]],Table1016[#All],2,FALSE)</f>
        <v>#N/A</v>
      </c>
      <c r="D22" s="113"/>
      <c r="E22" s="122" t="e">
        <f>VLOOKUP(Table257519913140106110151155170178204255[[#This Row],[PEG]],Table1016[#All],3,FALSE)</f>
        <v>#N/A</v>
      </c>
    </row>
    <row r="23" spans="1:5">
      <c r="A23" s="114">
        <v>16</v>
      </c>
      <c r="B23" s="110" t="s">
        <v>115</v>
      </c>
      <c r="C23" s="105" t="e">
        <f>VLOOKUP(Table257519913140106110151155170178204255[[#This Row],[PEG]],Table1016[#All],2,FALSE)</f>
        <v>#N/A</v>
      </c>
      <c r="D23" s="113"/>
      <c r="E23" s="122" t="e">
        <f>VLOOKUP(Table257519913140106110151155170178204255[[#This Row],[PEG]],Table1016[#All],3,FALSE)</f>
        <v>#N/A</v>
      </c>
    </row>
    <row r="24" spans="1:5">
      <c r="A24" s="114">
        <v>17</v>
      </c>
      <c r="B24" s="110" t="s">
        <v>114</v>
      </c>
      <c r="C24" s="105" t="e">
        <f>VLOOKUP(Table257519913140106110151155170178204255[[#This Row],[PEG]],Table1016[#All],2,FALSE)</f>
        <v>#N/A</v>
      </c>
      <c r="D24" s="113"/>
      <c r="E24" s="122" t="e">
        <f>VLOOKUP(Table257519913140106110151155170178204255[[#This Row],[PEG]],Table1016[#All],3,FALSE)</f>
        <v>#N/A</v>
      </c>
    </row>
    <row r="25" spans="1:5">
      <c r="A25" s="114">
        <v>18</v>
      </c>
      <c r="B25" s="110" t="s">
        <v>12</v>
      </c>
      <c r="C25" s="105" t="e">
        <f>VLOOKUP(Table257519913140106110151155170178204255[[#This Row],[PEG]],Table1016[#All],2,FALSE)</f>
        <v>#N/A</v>
      </c>
      <c r="D25" s="113"/>
      <c r="E25" s="122" t="e">
        <f>VLOOKUP(Table257519913140106110151155170178204255[[#This Row],[PEG]],Table1016[#All],3,FALSE)</f>
        <v>#N/A</v>
      </c>
    </row>
    <row r="26" spans="1:5">
      <c r="A26" s="114">
        <v>19</v>
      </c>
      <c r="B26" s="110" t="s">
        <v>12</v>
      </c>
      <c r="C26" s="105" t="e">
        <f>VLOOKUP(Table257519913140106110151155170178204255[[#This Row],[PEG]],Table1016[#All],2,FALSE)</f>
        <v>#N/A</v>
      </c>
      <c r="D26" s="113"/>
      <c r="E26" s="122" t="e">
        <f>VLOOKUP(Table257519913140106110151155170178204255[[#This Row],[PEG]],Table1016[#All],3,FALSE)</f>
        <v>#N/A</v>
      </c>
    </row>
    <row r="27" spans="1:5">
      <c r="A27" s="114">
        <v>20</v>
      </c>
      <c r="B27" s="110" t="s">
        <v>115</v>
      </c>
      <c r="C27" s="105" t="e">
        <f>VLOOKUP(Table257519913140106110151155170178204255[[#This Row],[PEG]],Table1016[#All],2,FALSE)</f>
        <v>#N/A</v>
      </c>
      <c r="D27" s="113"/>
      <c r="E27" s="122" t="e">
        <f>VLOOKUP(Table257519913140106110151155170178204255[[#This Row],[PEG]],Table1016[#All],3,FALSE)</f>
        <v>#N/A</v>
      </c>
    </row>
    <row r="28" spans="1:5">
      <c r="A28" s="114">
        <v>21</v>
      </c>
      <c r="B28" s="110" t="s">
        <v>114</v>
      </c>
      <c r="C28" s="105" t="e">
        <f>VLOOKUP(Table257519913140106110151155170178204255[[#This Row],[PEG]],Table1016[#All],2,FALSE)</f>
        <v>#N/A</v>
      </c>
      <c r="D28" s="113"/>
      <c r="E28" s="122" t="e">
        <f>VLOOKUP(Table257519913140106110151155170178204255[[#This Row],[PEG]],Table1016[#All],3,FALSE)</f>
        <v>#N/A</v>
      </c>
    </row>
    <row r="29" spans="1:5">
      <c r="A29" s="114">
        <v>22</v>
      </c>
      <c r="B29" s="110" t="s">
        <v>12</v>
      </c>
      <c r="C29" s="105" t="e">
        <f>VLOOKUP(Table257519913140106110151155170178204255[[#This Row],[PEG]],Table1016[#All],2,FALSE)</f>
        <v>#N/A</v>
      </c>
      <c r="D29" s="113"/>
      <c r="E29" s="122" t="e">
        <f>VLOOKUP(Table257519913140106110151155170178204255[[#This Row],[PEG]],Table1016[#All],3,FALSE)</f>
        <v>#N/A</v>
      </c>
    </row>
    <row r="30" spans="1:5">
      <c r="A30" s="114">
        <v>23</v>
      </c>
      <c r="B30" s="110" t="s">
        <v>12</v>
      </c>
      <c r="C30" s="105" t="e">
        <f>VLOOKUP(Table257519913140106110151155170178204255[[#This Row],[PEG]],Table1016[#All],2,FALSE)</f>
        <v>#N/A</v>
      </c>
      <c r="D30" s="113"/>
      <c r="E30" s="122" t="e">
        <f>VLOOKUP(Table257519913140106110151155170178204255[[#This Row],[PEG]],Table1016[#All],3,FALSE)</f>
        <v>#N/A</v>
      </c>
    </row>
    <row r="31" spans="1:5">
      <c r="A31" s="114">
        <v>24</v>
      </c>
      <c r="B31" s="110" t="s">
        <v>115</v>
      </c>
      <c r="C31" s="105" t="e">
        <f>VLOOKUP(Table257519913140106110151155170178204255[[#This Row],[PEG]],Table1016[#All],2,FALSE)</f>
        <v>#N/A</v>
      </c>
      <c r="D31" s="113"/>
      <c r="E31" s="122" t="e">
        <f>VLOOKUP(Table257519913140106110151155170178204255[[#This Row],[PEG]],Table1016[#All],3,FALSE)</f>
        <v>#N/A</v>
      </c>
    </row>
    <row r="32" spans="1:5">
      <c r="A32" s="114">
        <v>25</v>
      </c>
      <c r="B32" s="110" t="s">
        <v>115</v>
      </c>
      <c r="C32" s="105" t="e">
        <f>VLOOKUP(Table257519913140106110151155170178204255[[#This Row],[PEG]],Table1016[#All],2,FALSE)</f>
        <v>#N/A</v>
      </c>
      <c r="D32" s="113"/>
      <c r="E32" s="122" t="e">
        <f>VLOOKUP(Table257519913140106110151155170178204255[[#This Row],[PEG]],Table1016[#All],3,FALSE)</f>
        <v>#N/A</v>
      </c>
    </row>
    <row r="33" spans="1:5">
      <c r="A33" s="114">
        <v>26</v>
      </c>
      <c r="B33" s="110" t="s">
        <v>124</v>
      </c>
      <c r="C33" s="105" t="e">
        <f>VLOOKUP(Table257519913140106110151155170178204255[[#This Row],[PEG]],Table1016[#All],2,FALSE)</f>
        <v>#N/A</v>
      </c>
      <c r="D33" s="113"/>
      <c r="E33" s="122" t="e">
        <f>VLOOKUP(Table257519913140106110151155170178204255[[#This Row],[PEG]],Table1016[#All],3,FALSE)</f>
        <v>#N/A</v>
      </c>
    </row>
    <row r="34" spans="1:5">
      <c r="A34" s="114">
        <v>27</v>
      </c>
      <c r="B34" s="110" t="s">
        <v>115</v>
      </c>
      <c r="C34" s="105" t="e">
        <f>VLOOKUP(Table257519913140106110151155170178204255[[#This Row],[PEG]],Table1016[#All],2,FALSE)</f>
        <v>#N/A</v>
      </c>
      <c r="D34" s="113"/>
      <c r="E34" s="122" t="e">
        <f>VLOOKUP(Table257519913140106110151155170178204255[[#This Row],[PEG]],Table1016[#All],3,FALSE)</f>
        <v>#N/A</v>
      </c>
    </row>
    <row r="35" spans="1:5">
      <c r="A35" s="114">
        <v>28</v>
      </c>
      <c r="B35" s="110" t="s">
        <v>124</v>
      </c>
      <c r="C35" s="105" t="e">
        <f>VLOOKUP(Table257519913140106110151155170178204255[[#This Row],[PEG]],Table1016[#All],2,FALSE)</f>
        <v>#N/A</v>
      </c>
      <c r="D35" s="113"/>
      <c r="E35" s="122" t="e">
        <f>VLOOKUP(Table257519913140106110151155170178204255[[#This Row],[PEG]],Table1016[#All],3,FALSE)</f>
        <v>#N/A</v>
      </c>
    </row>
    <row r="36" spans="1:5">
      <c r="A36" s="114">
        <v>29</v>
      </c>
      <c r="B36" s="110" t="s">
        <v>115</v>
      </c>
      <c r="C36" s="105" t="e">
        <f>VLOOKUP(Table257519913140106110151155170178204255[[#This Row],[PEG]],Table1016[#All],2,FALSE)</f>
        <v>#N/A</v>
      </c>
      <c r="D36" s="113"/>
      <c r="E36" s="122" t="e">
        <f>VLOOKUP(Table257519913140106110151155170178204255[[#This Row],[PEG]],Table1016[#All],3,FALSE)</f>
        <v>#N/A</v>
      </c>
    </row>
    <row r="37" spans="1:5">
      <c r="A37" s="114">
        <v>30</v>
      </c>
      <c r="B37" s="110" t="s">
        <v>12</v>
      </c>
      <c r="C37" s="105" t="e">
        <f>VLOOKUP(Table257519913140106110151155170178204255[[#This Row],[PEG]],Table1016[#All],2,FALSE)</f>
        <v>#N/A</v>
      </c>
      <c r="D37" s="113"/>
      <c r="E37" s="122" t="e">
        <f>VLOOKUP(Table257519913140106110151155170178204255[[#This Row],[PEG]],Table1016[#All],3,FALSE)</f>
        <v>#N/A</v>
      </c>
    </row>
    <row r="38" spans="1:5">
      <c r="A38" s="114">
        <v>31</v>
      </c>
      <c r="B38" s="110" t="s">
        <v>12</v>
      </c>
      <c r="C38" s="105" t="e">
        <f>VLOOKUP(Table257519913140106110151155170178204255[[#This Row],[PEG]],Table1016[#All],2,FALSE)</f>
        <v>#N/A</v>
      </c>
      <c r="D38" s="113"/>
      <c r="E38" s="122" t="e">
        <f>VLOOKUP(Table257519913140106110151155170178204255[[#This Row],[PEG]],Table1016[#All],3,FALSE)</f>
        <v>#N/A</v>
      </c>
    </row>
    <row r="39" spans="1:5">
      <c r="A39" s="114">
        <v>32</v>
      </c>
      <c r="B39" s="110" t="s">
        <v>12</v>
      </c>
      <c r="C39" s="105" t="e">
        <f>VLOOKUP(Table257519913140106110151155170178204255[[#This Row],[PEG]],Table1016[#All],2,FALSE)</f>
        <v>#N/A</v>
      </c>
      <c r="D39" s="113"/>
      <c r="E39" s="122" t="e">
        <f>VLOOKUP(Table257519913140106110151155170178204255[[#This Row],[PEG]],Table1016[#All],3,FALSE)</f>
        <v>#N/A</v>
      </c>
    </row>
    <row r="40" spans="1:5">
      <c r="A40" s="114">
        <v>33</v>
      </c>
      <c r="B40" s="110" t="s">
        <v>12</v>
      </c>
      <c r="C40" s="105" t="e">
        <f>VLOOKUP(Table257519913140106110151155170178204255[[#This Row],[PEG]],Table1016[#All],2,FALSE)</f>
        <v>#N/A</v>
      </c>
      <c r="D40" s="113"/>
      <c r="E40" s="122" t="e">
        <f>VLOOKUP(Table257519913140106110151155170178204255[[#This Row],[PEG]],Table1016[#All],3,FALSE)</f>
        <v>#N/A</v>
      </c>
    </row>
    <row r="41" spans="1:5">
      <c r="A41" s="114">
        <v>34</v>
      </c>
      <c r="B41" s="110" t="s">
        <v>115</v>
      </c>
      <c r="C41" s="105" t="e">
        <f>VLOOKUP(Table257519913140106110151155170178204255[[#This Row],[PEG]],Table1016[#All],2,FALSE)</f>
        <v>#N/A</v>
      </c>
      <c r="D41" s="113"/>
      <c r="E41" s="122" t="e">
        <f>VLOOKUP(Table257519913140106110151155170178204255[[#This Row],[PEG]],Table1016[#All],3,FALSE)</f>
        <v>#N/A</v>
      </c>
    </row>
    <row r="42" spans="1:5">
      <c r="A42" s="114">
        <v>35</v>
      </c>
      <c r="B42" s="110" t="s">
        <v>12</v>
      </c>
      <c r="C42" s="105" t="e">
        <f>VLOOKUP(Table257519913140106110151155170178204255[[#This Row],[PEG]],Table1016[#All],2,FALSE)</f>
        <v>#N/A</v>
      </c>
      <c r="D42" s="111"/>
      <c r="E42" s="122" t="e">
        <f>VLOOKUP(Table257519913140106110151155170178204255[[#This Row],[PEG]],Table1016[#All],3,FALSE)</f>
        <v>#N/A</v>
      </c>
    </row>
    <row r="43" spans="1:5">
      <c r="A43" s="114">
        <v>36</v>
      </c>
      <c r="B43" s="110" t="s">
        <v>115</v>
      </c>
      <c r="C43" s="105" t="e">
        <f>VLOOKUP(Table257519913140106110151155170178204255[[#This Row],[PEG]],Table1016[#All],2,FALSE)</f>
        <v>#N/A</v>
      </c>
      <c r="D43" s="111"/>
      <c r="E43" s="122" t="e">
        <f>VLOOKUP(Table257519913140106110151155170178204255[[#This Row],[PEG]],Table1016[#All],3,FALSE)</f>
        <v>#N/A</v>
      </c>
    </row>
    <row r="44" spans="1:5">
      <c r="A44" s="114">
        <v>37</v>
      </c>
      <c r="B44" s="110" t="s">
        <v>13</v>
      </c>
      <c r="C44" s="17" t="s">
        <v>13</v>
      </c>
      <c r="D44" s="111"/>
      <c r="E44" s="31"/>
    </row>
  </sheetData>
  <mergeCells count="1">
    <mergeCell ref="A1:B1"/>
  </mergeCells>
  <conditionalFormatting sqref="B8:B18">
    <cfRule type="containsText" dxfId="762" priority="1" operator="containsText" text="Hear">
      <formula>NOT(ISERROR(SEARCH("Hear",B8)))</formula>
    </cfRule>
  </conditionalFormatting>
  <conditionalFormatting sqref="B30">
    <cfRule type="containsText" dxfId="761" priority="4" operator="containsText" text="Hear">
      <formula>NOT(ISERROR(SEARCH("Hear",B30)))</formula>
    </cfRule>
  </conditionalFormatting>
  <conditionalFormatting sqref="B43:B44">
    <cfRule type="containsText" dxfId="760" priority="8" operator="containsText" text="Hear">
      <formula>NOT(ISERROR(SEARCH("Hear",B43)))</formula>
    </cfRule>
  </conditionalFormatting>
  <conditionalFormatting sqref="E44">
    <cfRule type="containsText" dxfId="759" priority="6" operator="containsText" text="WEB SERVICE">
      <formula>NOT(ISERROR(SEARCH("WEB SERVICE",E44)))</formula>
    </cfRule>
    <cfRule type="containsText" dxfId="758" priority="7" operator="containsText" text="DB">
      <formula>NOT(ISERROR(SEARCH("DB",E44)))</formula>
    </cfRule>
  </conditionalFormatting>
  <conditionalFormatting sqref="C44">
    <cfRule type="expression" dxfId="757" priority="9">
      <formula>$B44="Dial"</formula>
    </cfRule>
  </conditionalFormatting>
  <conditionalFormatting sqref="C44">
    <cfRule type="expression" dxfId="756" priority="3">
      <formula>$B44="Speak"</formula>
    </cfRule>
  </conditionalFormatting>
  <conditionalFormatting sqref="B19:B29 B31:B35 B42">
    <cfRule type="containsText" dxfId="755" priority="5" operator="containsText" text="Hear">
      <formula>NOT(ISERROR(SEARCH("Hear",B19)))</formula>
    </cfRule>
  </conditionalFormatting>
  <hyperlinks>
    <hyperlink ref="A1" location="'Test Case Overview'!A1" display="Return to Test Case Overview" xr:uid="{00000000-0004-0000-AD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8C2DB42B-3961-4A22-88AB-F8B9C44B34BA}">
            <xm:f>'TC1'!$B8="HANGUP"</xm:f>
            <x14:dxf>
              <font>
                <b/>
                <i val="0"/>
              </font>
            </x14:dxf>
          </x14:cfRule>
          <xm:sqref>C8</xm:sqref>
        </x14:conditionalFormatting>
        <x14:conditionalFormatting xmlns:xm="http://schemas.microsoft.com/office/excel/2006/main">
          <x14:cfRule type="expression" priority="3341" id="{8C2DB42B-3961-4A22-88AB-F8B9C44B34BA}">
            <xm:f>'TC1'!$B14="HANGUP"</xm:f>
            <x14:dxf>
              <font>
                <b/>
                <i val="0"/>
              </font>
            </x14:dxf>
          </x14:cfRule>
          <xm:sqref>C34:C43</xm:sqref>
        </x14:conditionalFormatting>
        <x14:conditionalFormatting xmlns:xm="http://schemas.microsoft.com/office/excel/2006/main">
          <x14:cfRule type="expression" priority="3342" id="{8C2DB42B-3961-4A22-88AB-F8B9C44B34BA}">
            <xm:f>'TC1'!#REF!="HANGUP"</xm:f>
            <x14:dxf>
              <font>
                <b/>
                <i val="0"/>
              </font>
            </x14:dxf>
          </x14:cfRule>
          <xm:sqref>C13:C33</xm:sqref>
        </x14:conditionalFormatting>
        <x14:conditionalFormatting xmlns:xm="http://schemas.microsoft.com/office/excel/2006/main">
          <x14:cfRule type="expression" priority="4597" id="{8C2DB42B-3961-4A22-88AB-F8B9C44B34BA}">
            <xm:f>'TC1'!$B10="HANGUP"</xm:f>
            <x14:dxf>
              <font>
                <b/>
                <i val="0"/>
              </font>
            </x14:dxf>
          </x14:cfRule>
          <xm:sqref>C9:C12</xm:sqref>
        </x14:conditionalFormatting>
      </x14:conditionalFormattings>
    </ext>
  </extLst>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E00-000000000000}">
  <sheetPr codeName="Sheet176"/>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TC174</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VLOOKUP(Table257519913140106110151155170178204257[[#This Row],[PEG]],Table1016[#All],2,FALSE)</f>
        <v>#N/A</v>
      </c>
      <c r="D9" s="125"/>
      <c r="E9" s="122" t="e">
        <f>VLOOKUP(Table257519913140106110151155170178204257[[#This Row],[PEG]],Table1016[#All],3,FALSE)</f>
        <v>#N/A</v>
      </c>
    </row>
    <row r="10" spans="1:5">
      <c r="A10" s="114">
        <v>3</v>
      </c>
      <c r="B10" s="110" t="s">
        <v>115</v>
      </c>
      <c r="C10" s="105" t="e">
        <f>VLOOKUP(Table257519913140106110151155170178204257[[#This Row],[PEG]],Table1016[#All],2,FALSE)</f>
        <v>#N/A</v>
      </c>
      <c r="D10" s="125"/>
      <c r="E10" s="122" t="e">
        <f>VLOOKUP(Table257519913140106110151155170178204257[[#This Row],[PEG]],Table1016[#All],3,FALSE)</f>
        <v>#N/A</v>
      </c>
    </row>
    <row r="11" spans="1:5">
      <c r="A11" s="114">
        <v>4</v>
      </c>
      <c r="B11" s="110" t="s">
        <v>115</v>
      </c>
      <c r="C11" s="105" t="e">
        <f>VLOOKUP(Table257519913140106110151155170178204257[[#This Row],[PEG]],Table1016[#All],2,FALSE)</f>
        <v>#N/A</v>
      </c>
      <c r="D11" s="125"/>
      <c r="E11" s="122" t="e">
        <f>VLOOKUP(Table257519913140106110151155170178204257[[#This Row],[PEG]],Table1016[#All],3,FALSE)</f>
        <v>#N/A</v>
      </c>
    </row>
    <row r="12" spans="1:5">
      <c r="A12" s="114">
        <v>5</v>
      </c>
      <c r="B12" s="110" t="s">
        <v>114</v>
      </c>
      <c r="C12" s="105" t="e">
        <f>VLOOKUP(Table257519913140106110151155170178204257[[#This Row],[PEG]],Table1016[#All],2,FALSE)</f>
        <v>#N/A</v>
      </c>
      <c r="D12" s="125"/>
      <c r="E12" s="122" t="e">
        <f>VLOOKUP(Table257519913140106110151155170178204257[[#This Row],[PEG]],Table1016[#All],3,FALSE)</f>
        <v>#N/A</v>
      </c>
    </row>
    <row r="13" spans="1:5">
      <c r="A13" s="114">
        <v>6</v>
      </c>
      <c r="B13" s="110" t="s">
        <v>115</v>
      </c>
      <c r="C13" s="105" t="e">
        <f>VLOOKUP(Table257519913140106110151155170178204257[[#This Row],[PEG]],Table1016[#All],2,FALSE)</f>
        <v>#N/A</v>
      </c>
      <c r="D13" s="125"/>
      <c r="E13" s="122" t="e">
        <f>VLOOKUP(Table257519913140106110151155170178204257[[#This Row],[PEG]],Table1016[#All],3,FALSE)</f>
        <v>#N/A</v>
      </c>
    </row>
    <row r="14" spans="1:5">
      <c r="A14" s="114">
        <v>7</v>
      </c>
      <c r="B14" s="110" t="s">
        <v>114</v>
      </c>
      <c r="C14" s="105" t="e">
        <f>VLOOKUP(Table257519913140106110151155170178204257[[#This Row],[PEG]],Table1016[#All],2,FALSE)</f>
        <v>#N/A</v>
      </c>
      <c r="D14" s="125"/>
      <c r="E14" s="122" t="e">
        <f>VLOOKUP(Table257519913140106110151155170178204257[[#This Row],[PEG]],Table1016[#All],3,FALSE)</f>
        <v>#N/A</v>
      </c>
    </row>
    <row r="15" spans="1:5">
      <c r="A15" s="114">
        <v>8</v>
      </c>
      <c r="B15" s="110" t="s">
        <v>115</v>
      </c>
      <c r="C15" s="105" t="e">
        <f>VLOOKUP(Table257519913140106110151155170178204257[[#This Row],[PEG]],Table1016[#All],2,FALSE)</f>
        <v>#N/A</v>
      </c>
      <c r="D15" s="112"/>
      <c r="E15" s="122" t="e">
        <f>VLOOKUP(Table257519913140106110151155170178204257[[#This Row],[PEG]],Table1016[#All],3,FALSE)</f>
        <v>#N/A</v>
      </c>
    </row>
    <row r="16" spans="1:5">
      <c r="A16" s="114">
        <v>9</v>
      </c>
      <c r="B16" s="110" t="s">
        <v>12</v>
      </c>
      <c r="C16" s="105" t="e">
        <f>VLOOKUP(Table257519913140106110151155170178204257[[#This Row],[PEG]],Table1016[#All],2,FALSE)</f>
        <v>#N/A</v>
      </c>
      <c r="D16" s="112"/>
      <c r="E16" s="122" t="e">
        <f>VLOOKUP(Table257519913140106110151155170178204257[[#This Row],[PEG]],Table1016[#All],3,FALSE)</f>
        <v>#N/A</v>
      </c>
    </row>
    <row r="17" spans="1:5">
      <c r="A17" s="114">
        <v>10</v>
      </c>
      <c r="B17" s="110" t="s">
        <v>12</v>
      </c>
      <c r="C17" s="105" t="e">
        <f>VLOOKUP(Table257519913140106110151155170178204257[[#This Row],[PEG]],Table1016[#All],2,FALSE)</f>
        <v>#N/A</v>
      </c>
      <c r="D17" s="113"/>
      <c r="E17" s="122" t="e">
        <f>VLOOKUP(Table257519913140106110151155170178204257[[#This Row],[PEG]],Table1016[#All],3,FALSE)</f>
        <v>#N/A</v>
      </c>
    </row>
    <row r="18" spans="1:5">
      <c r="A18" s="114">
        <v>11</v>
      </c>
      <c r="B18" s="110" t="s">
        <v>115</v>
      </c>
      <c r="C18" s="105" t="e">
        <f>VLOOKUP(Table257519913140106110151155170178204257[[#This Row],[PEG]],Table1016[#All],2,FALSE)</f>
        <v>#N/A</v>
      </c>
      <c r="D18" s="113"/>
      <c r="E18" s="122" t="e">
        <f>VLOOKUP(Table257519913140106110151155170178204257[[#This Row],[PEG]],Table1016[#All],3,FALSE)</f>
        <v>#N/A</v>
      </c>
    </row>
    <row r="19" spans="1:5">
      <c r="A19" s="114">
        <v>12</v>
      </c>
      <c r="B19" s="110" t="s">
        <v>115</v>
      </c>
      <c r="C19" s="105" t="e">
        <f>VLOOKUP(Table257519913140106110151155170178204257[[#This Row],[PEG]],Table1016[#All],2,FALSE)</f>
        <v>#N/A</v>
      </c>
      <c r="D19" s="113"/>
      <c r="E19" s="122" t="e">
        <f>VLOOKUP(Table257519913140106110151155170178204257[[#This Row],[PEG]],Table1016[#All],3,FALSE)</f>
        <v>#N/A</v>
      </c>
    </row>
    <row r="20" spans="1:5">
      <c r="A20" s="114">
        <v>13</v>
      </c>
      <c r="B20" s="110" t="s">
        <v>114</v>
      </c>
      <c r="C20" s="105" t="e">
        <f>VLOOKUP(Table257519913140106110151155170178204257[[#This Row],[PEG]],Table1016[#All],2,FALSE)</f>
        <v>#N/A</v>
      </c>
      <c r="D20" s="113"/>
      <c r="E20" s="122" t="e">
        <f>VLOOKUP(Table257519913140106110151155170178204257[[#This Row],[PEG]],Table1016[#All],3,FALSE)</f>
        <v>#N/A</v>
      </c>
    </row>
    <row r="21" spans="1:5">
      <c r="A21" s="114">
        <v>14</v>
      </c>
      <c r="B21" s="110" t="s">
        <v>12</v>
      </c>
      <c r="C21" s="105" t="e">
        <f>VLOOKUP(Table257519913140106110151155170178204257[[#This Row],[PEG]],Table1016[#All],2,FALSE)</f>
        <v>#N/A</v>
      </c>
      <c r="D21" s="113"/>
      <c r="E21" s="122" t="e">
        <f>VLOOKUP(Table257519913140106110151155170178204257[[#This Row],[PEG]],Table1016[#All],3,FALSE)</f>
        <v>#N/A</v>
      </c>
    </row>
    <row r="22" spans="1:5">
      <c r="A22" s="114">
        <v>15</v>
      </c>
      <c r="B22" s="110" t="s">
        <v>12</v>
      </c>
      <c r="C22" s="105" t="e">
        <f>VLOOKUP(Table257519913140106110151155170178204257[[#This Row],[PEG]],Table1016[#All],2,FALSE)</f>
        <v>#N/A</v>
      </c>
      <c r="D22" s="113"/>
      <c r="E22" s="122" t="e">
        <f>VLOOKUP(Table257519913140106110151155170178204257[[#This Row],[PEG]],Table1016[#All],3,FALSE)</f>
        <v>#N/A</v>
      </c>
    </row>
    <row r="23" spans="1:5">
      <c r="A23" s="114">
        <v>16</v>
      </c>
      <c r="B23" s="110" t="s">
        <v>115</v>
      </c>
      <c r="C23" s="105" t="e">
        <f>VLOOKUP(Table257519913140106110151155170178204257[[#This Row],[PEG]],Table1016[#All],2,FALSE)</f>
        <v>#N/A</v>
      </c>
      <c r="D23" s="113"/>
      <c r="E23" s="122" t="e">
        <f>VLOOKUP(Table257519913140106110151155170178204257[[#This Row],[PEG]],Table1016[#All],3,FALSE)</f>
        <v>#N/A</v>
      </c>
    </row>
    <row r="24" spans="1:5">
      <c r="A24" s="114">
        <v>17</v>
      </c>
      <c r="B24" s="110" t="s">
        <v>114</v>
      </c>
      <c r="C24" s="105" t="e">
        <f>VLOOKUP(Table257519913140106110151155170178204257[[#This Row],[PEG]],Table1016[#All],2,FALSE)</f>
        <v>#N/A</v>
      </c>
      <c r="D24" s="113"/>
      <c r="E24" s="122" t="e">
        <f>VLOOKUP(Table257519913140106110151155170178204257[[#This Row],[PEG]],Table1016[#All],3,FALSE)</f>
        <v>#N/A</v>
      </c>
    </row>
    <row r="25" spans="1:5">
      <c r="A25" s="114">
        <v>18</v>
      </c>
      <c r="B25" s="110" t="s">
        <v>12</v>
      </c>
      <c r="C25" s="105" t="e">
        <f>VLOOKUP(Table257519913140106110151155170178204257[[#This Row],[PEG]],Table1016[#All],2,FALSE)</f>
        <v>#N/A</v>
      </c>
      <c r="D25" s="113"/>
      <c r="E25" s="122" t="e">
        <f>VLOOKUP(Table257519913140106110151155170178204257[[#This Row],[PEG]],Table1016[#All],3,FALSE)</f>
        <v>#N/A</v>
      </c>
    </row>
    <row r="26" spans="1:5">
      <c r="A26" s="114">
        <v>19</v>
      </c>
      <c r="B26" s="110" t="s">
        <v>12</v>
      </c>
      <c r="C26" s="105" t="e">
        <f>VLOOKUP(Table257519913140106110151155170178204257[[#This Row],[PEG]],Table1016[#All],2,FALSE)</f>
        <v>#N/A</v>
      </c>
      <c r="D26" s="113"/>
      <c r="E26" s="122" t="e">
        <f>VLOOKUP(Table257519913140106110151155170178204257[[#This Row],[PEG]],Table1016[#All],3,FALSE)</f>
        <v>#N/A</v>
      </c>
    </row>
    <row r="27" spans="1:5">
      <c r="A27" s="114">
        <v>20</v>
      </c>
      <c r="B27" s="110" t="s">
        <v>115</v>
      </c>
      <c r="C27" s="105" t="e">
        <f>VLOOKUP(Table257519913140106110151155170178204257[[#This Row],[PEG]],Table1016[#All],2,FALSE)</f>
        <v>#N/A</v>
      </c>
      <c r="D27" s="113"/>
      <c r="E27" s="122" t="e">
        <f>VLOOKUP(Table257519913140106110151155170178204257[[#This Row],[PEG]],Table1016[#All],3,FALSE)</f>
        <v>#N/A</v>
      </c>
    </row>
    <row r="28" spans="1:5">
      <c r="A28" s="114">
        <v>21</v>
      </c>
      <c r="B28" s="110" t="s">
        <v>114</v>
      </c>
      <c r="C28" s="105" t="e">
        <f>VLOOKUP(Table257519913140106110151155170178204257[[#This Row],[PEG]],Table1016[#All],2,FALSE)</f>
        <v>#N/A</v>
      </c>
      <c r="D28" s="113"/>
      <c r="E28" s="122" t="e">
        <f>VLOOKUP(Table257519913140106110151155170178204257[[#This Row],[PEG]],Table1016[#All],3,FALSE)</f>
        <v>#N/A</v>
      </c>
    </row>
    <row r="29" spans="1:5">
      <c r="A29" s="114">
        <v>22</v>
      </c>
      <c r="B29" s="110" t="s">
        <v>12</v>
      </c>
      <c r="C29" s="105" t="e">
        <f>VLOOKUP(Table257519913140106110151155170178204257[[#This Row],[PEG]],Table1016[#All],2,FALSE)</f>
        <v>#N/A</v>
      </c>
      <c r="D29" s="113"/>
      <c r="E29" s="122" t="e">
        <f>VLOOKUP(Table257519913140106110151155170178204257[[#This Row],[PEG]],Table1016[#All],3,FALSE)</f>
        <v>#N/A</v>
      </c>
    </row>
    <row r="30" spans="1:5">
      <c r="A30" s="114">
        <v>23</v>
      </c>
      <c r="B30" s="110" t="s">
        <v>12</v>
      </c>
      <c r="C30" s="105" t="e">
        <f>VLOOKUP(Table257519913140106110151155170178204257[[#This Row],[PEG]],Table1016[#All],2,FALSE)</f>
        <v>#N/A</v>
      </c>
      <c r="D30" s="113"/>
      <c r="E30" s="122" t="e">
        <f>VLOOKUP(Table257519913140106110151155170178204257[[#This Row],[PEG]],Table1016[#All],3,FALSE)</f>
        <v>#N/A</v>
      </c>
    </row>
    <row r="31" spans="1:5">
      <c r="A31" s="114">
        <v>24</v>
      </c>
      <c r="B31" s="110" t="s">
        <v>115</v>
      </c>
      <c r="C31" s="105" t="e">
        <f>VLOOKUP(Table257519913140106110151155170178204257[[#This Row],[PEG]],Table1016[#All],2,FALSE)</f>
        <v>#N/A</v>
      </c>
      <c r="D31" s="113"/>
      <c r="E31" s="122" t="e">
        <f>VLOOKUP(Table257519913140106110151155170178204257[[#This Row],[PEG]],Table1016[#All],3,FALSE)</f>
        <v>#N/A</v>
      </c>
    </row>
    <row r="32" spans="1:5">
      <c r="A32" s="114">
        <v>25</v>
      </c>
      <c r="B32" s="110" t="s">
        <v>115</v>
      </c>
      <c r="C32" s="105" t="e">
        <f>VLOOKUP(Table257519913140106110151155170178204257[[#This Row],[PEG]],Table1016[#All],2,FALSE)</f>
        <v>#N/A</v>
      </c>
      <c r="D32" s="113"/>
      <c r="E32" s="122" t="e">
        <f>VLOOKUP(Table257519913140106110151155170178204257[[#This Row],[PEG]],Table1016[#All],3,FALSE)</f>
        <v>#N/A</v>
      </c>
    </row>
    <row r="33" spans="1:5">
      <c r="A33" s="114">
        <v>26</v>
      </c>
      <c r="B33" s="110" t="s">
        <v>124</v>
      </c>
      <c r="C33" s="105" t="e">
        <f>VLOOKUP(Table257519913140106110151155170178204257[[#This Row],[PEG]],Table1016[#All],2,FALSE)</f>
        <v>#N/A</v>
      </c>
      <c r="D33" s="113"/>
      <c r="E33" s="122" t="e">
        <f>VLOOKUP(Table257519913140106110151155170178204257[[#This Row],[PEG]],Table1016[#All],3,FALSE)</f>
        <v>#N/A</v>
      </c>
    </row>
    <row r="34" spans="1:5">
      <c r="A34" s="114">
        <v>27</v>
      </c>
      <c r="B34" s="110" t="s">
        <v>115</v>
      </c>
      <c r="C34" s="105" t="e">
        <f>VLOOKUP(Table257519913140106110151155170178204257[[#This Row],[PEG]],Table1016[#All],2,FALSE)</f>
        <v>#N/A</v>
      </c>
      <c r="D34" s="113"/>
      <c r="E34" s="122" t="e">
        <f>VLOOKUP(Table257519913140106110151155170178204257[[#This Row],[PEG]],Table1016[#All],3,FALSE)</f>
        <v>#N/A</v>
      </c>
    </row>
    <row r="35" spans="1:5">
      <c r="A35" s="114">
        <v>28</v>
      </c>
      <c r="B35" s="110" t="s">
        <v>124</v>
      </c>
      <c r="C35" s="105" t="e">
        <f>VLOOKUP(Table257519913140106110151155170178204257[[#This Row],[PEG]],Table1016[#All],2,FALSE)</f>
        <v>#N/A</v>
      </c>
      <c r="D35" s="113"/>
      <c r="E35" s="122" t="e">
        <f>VLOOKUP(Table257519913140106110151155170178204257[[#This Row],[PEG]],Table1016[#All],3,FALSE)</f>
        <v>#N/A</v>
      </c>
    </row>
    <row r="36" spans="1:5">
      <c r="A36" s="114">
        <v>29</v>
      </c>
      <c r="B36" s="110" t="s">
        <v>115</v>
      </c>
      <c r="C36" s="105" t="e">
        <f>VLOOKUP(Table257519913140106110151155170178204257[[#This Row],[PEG]],Table1016[#All],2,FALSE)</f>
        <v>#N/A</v>
      </c>
      <c r="D36" s="113"/>
      <c r="E36" s="122" t="e">
        <f>VLOOKUP(Table257519913140106110151155170178204257[[#This Row],[PEG]],Table1016[#All],3,FALSE)</f>
        <v>#N/A</v>
      </c>
    </row>
    <row r="37" spans="1:5">
      <c r="A37" s="114">
        <v>30</v>
      </c>
      <c r="B37" s="110" t="s">
        <v>12</v>
      </c>
      <c r="C37" s="105" t="e">
        <f>VLOOKUP(Table257519913140106110151155170178204257[[#This Row],[PEG]],Table1016[#All],2,FALSE)</f>
        <v>#N/A</v>
      </c>
      <c r="D37" s="113"/>
      <c r="E37" s="122" t="e">
        <f>VLOOKUP(Table257519913140106110151155170178204257[[#This Row],[PEG]],Table1016[#All],3,FALSE)</f>
        <v>#N/A</v>
      </c>
    </row>
    <row r="38" spans="1:5">
      <c r="A38" s="114">
        <v>31</v>
      </c>
      <c r="B38" s="110" t="s">
        <v>12</v>
      </c>
      <c r="C38" s="105" t="e">
        <f>VLOOKUP(Table257519913140106110151155170178204257[[#This Row],[PEG]],Table1016[#All],2,FALSE)</f>
        <v>#N/A</v>
      </c>
      <c r="D38" s="113"/>
      <c r="E38" s="122" t="e">
        <f>VLOOKUP(Table257519913140106110151155170178204257[[#This Row],[PEG]],Table1016[#All],3,FALSE)</f>
        <v>#N/A</v>
      </c>
    </row>
    <row r="39" spans="1:5">
      <c r="A39" s="114">
        <v>32</v>
      </c>
      <c r="B39" s="110" t="s">
        <v>12</v>
      </c>
      <c r="C39" s="105" t="e">
        <f>VLOOKUP(Table257519913140106110151155170178204257[[#This Row],[PEG]],Table1016[#All],2,FALSE)</f>
        <v>#N/A</v>
      </c>
      <c r="D39" s="113"/>
      <c r="E39" s="122" t="e">
        <f>VLOOKUP(Table257519913140106110151155170178204257[[#This Row],[PEG]],Table1016[#All],3,FALSE)</f>
        <v>#N/A</v>
      </c>
    </row>
    <row r="40" spans="1:5">
      <c r="A40" s="114">
        <v>33</v>
      </c>
      <c r="B40" s="110" t="s">
        <v>12</v>
      </c>
      <c r="C40" s="105" t="e">
        <f>VLOOKUP(Table257519913140106110151155170178204257[[#This Row],[PEG]],Table1016[#All],2,FALSE)</f>
        <v>#N/A</v>
      </c>
      <c r="D40" s="113"/>
      <c r="E40" s="122" t="e">
        <f>VLOOKUP(Table257519913140106110151155170178204257[[#This Row],[PEG]],Table1016[#All],3,FALSE)</f>
        <v>#N/A</v>
      </c>
    </row>
    <row r="41" spans="1:5">
      <c r="A41" s="114">
        <v>34</v>
      </c>
      <c r="B41" s="110" t="s">
        <v>115</v>
      </c>
      <c r="C41" s="105" t="e">
        <f>VLOOKUP(Table257519913140106110151155170178204257[[#This Row],[PEG]],Table1016[#All],2,FALSE)</f>
        <v>#N/A</v>
      </c>
      <c r="D41" s="113"/>
      <c r="E41" s="122" t="e">
        <f>VLOOKUP(Table257519913140106110151155170178204257[[#This Row],[PEG]],Table1016[#All],3,FALSE)</f>
        <v>#N/A</v>
      </c>
    </row>
    <row r="42" spans="1:5">
      <c r="A42" s="114">
        <v>35</v>
      </c>
      <c r="B42" s="110" t="s">
        <v>12</v>
      </c>
      <c r="C42" s="105" t="e">
        <f>VLOOKUP(Table257519913140106110151155170178204257[[#This Row],[PEG]],Table1016[#All],2,FALSE)</f>
        <v>#N/A</v>
      </c>
      <c r="D42" s="111"/>
      <c r="E42" s="122" t="e">
        <f>VLOOKUP(Table257519913140106110151155170178204257[[#This Row],[PEG]],Table1016[#All],3,FALSE)</f>
        <v>#N/A</v>
      </c>
    </row>
    <row r="43" spans="1:5">
      <c r="A43" s="114">
        <v>36</v>
      </c>
      <c r="B43" s="110" t="s">
        <v>115</v>
      </c>
      <c r="C43" s="105" t="e">
        <f>VLOOKUP(Table257519913140106110151155170178204257[[#This Row],[PEG]],Table1016[#All],2,FALSE)</f>
        <v>#N/A</v>
      </c>
      <c r="D43" s="111"/>
      <c r="E43" s="122" t="e">
        <f>VLOOKUP(Table257519913140106110151155170178204257[[#This Row],[PEG]],Table1016[#All],3,FALSE)</f>
        <v>#N/A</v>
      </c>
    </row>
    <row r="44" spans="1:5">
      <c r="A44" s="114">
        <v>37</v>
      </c>
      <c r="B44" s="110" t="s">
        <v>13</v>
      </c>
      <c r="C44" s="17" t="s">
        <v>13</v>
      </c>
      <c r="D44" s="111"/>
      <c r="E44" s="31"/>
    </row>
  </sheetData>
  <mergeCells count="1">
    <mergeCell ref="A1:B1"/>
  </mergeCells>
  <conditionalFormatting sqref="B8:B18">
    <cfRule type="containsText" dxfId="741" priority="1" operator="containsText" text="Hear">
      <formula>NOT(ISERROR(SEARCH("Hear",B8)))</formula>
    </cfRule>
  </conditionalFormatting>
  <conditionalFormatting sqref="B30">
    <cfRule type="containsText" dxfId="740" priority="4" operator="containsText" text="Hear">
      <formula>NOT(ISERROR(SEARCH("Hear",B30)))</formula>
    </cfRule>
  </conditionalFormatting>
  <conditionalFormatting sqref="B43:B44">
    <cfRule type="containsText" dxfId="739" priority="8" operator="containsText" text="Hear">
      <formula>NOT(ISERROR(SEARCH("Hear",B43)))</formula>
    </cfRule>
  </conditionalFormatting>
  <conditionalFormatting sqref="E44">
    <cfRule type="containsText" dxfId="738" priority="6" operator="containsText" text="WEB SERVICE">
      <formula>NOT(ISERROR(SEARCH("WEB SERVICE",E44)))</formula>
    </cfRule>
    <cfRule type="containsText" dxfId="737" priority="7" operator="containsText" text="DB">
      <formula>NOT(ISERROR(SEARCH("DB",E44)))</formula>
    </cfRule>
  </conditionalFormatting>
  <conditionalFormatting sqref="C44">
    <cfRule type="expression" dxfId="736" priority="9">
      <formula>$B44="Dial"</formula>
    </cfRule>
  </conditionalFormatting>
  <conditionalFormatting sqref="C44">
    <cfRule type="expression" dxfId="735" priority="3">
      <formula>$B44="Speak"</formula>
    </cfRule>
  </conditionalFormatting>
  <conditionalFormatting sqref="B19:B29 B31:B35 B42">
    <cfRule type="containsText" dxfId="734" priority="5" operator="containsText" text="Hear">
      <formula>NOT(ISERROR(SEARCH("Hear",B19)))</formula>
    </cfRule>
  </conditionalFormatting>
  <hyperlinks>
    <hyperlink ref="A1" location="'Test Case Overview'!A1" display="Return to Test Case Overview" xr:uid="{00000000-0004-0000-AE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E7EFE1A8-92F3-444C-96D5-605B86DC6768}">
            <xm:f>'TC1'!$B8="HANGUP"</xm:f>
            <x14:dxf>
              <font>
                <b/>
                <i val="0"/>
              </font>
            </x14:dxf>
          </x14:cfRule>
          <xm:sqref>C8</xm:sqref>
        </x14:conditionalFormatting>
        <x14:conditionalFormatting xmlns:xm="http://schemas.microsoft.com/office/excel/2006/main">
          <x14:cfRule type="expression" priority="3345" id="{E7EFE1A8-92F3-444C-96D5-605B86DC6768}">
            <xm:f>'TC1'!$B14="HANGUP"</xm:f>
            <x14:dxf>
              <font>
                <b/>
                <i val="0"/>
              </font>
            </x14:dxf>
          </x14:cfRule>
          <xm:sqref>C34:C43</xm:sqref>
        </x14:conditionalFormatting>
        <x14:conditionalFormatting xmlns:xm="http://schemas.microsoft.com/office/excel/2006/main">
          <x14:cfRule type="expression" priority="3346" id="{E7EFE1A8-92F3-444C-96D5-605B86DC6768}">
            <xm:f>'TC1'!#REF!="HANGUP"</xm:f>
            <x14:dxf>
              <font>
                <b/>
                <i val="0"/>
              </font>
            </x14:dxf>
          </x14:cfRule>
          <xm:sqref>C13:C33</xm:sqref>
        </x14:conditionalFormatting>
        <x14:conditionalFormatting xmlns:xm="http://schemas.microsoft.com/office/excel/2006/main">
          <x14:cfRule type="expression" priority="4599" id="{E7EFE1A8-92F3-444C-96D5-605B86DC6768}">
            <xm:f>'TC1'!$B10="HANGUP"</xm:f>
            <x14:dxf>
              <font>
                <b/>
                <i val="0"/>
              </font>
            </x14:dxf>
          </x14:cfRule>
          <xm:sqref>C9:C12</xm:sqref>
        </x14:conditionalFormatting>
      </x14:conditionalFormattings>
    </ext>
  </extLst>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F00-000000000000}">
  <sheetPr codeName="Sheet177"/>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TC175</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VLOOKUP(Table257519913140106110151155170178204259[[#This Row],[PEG]],Table1016[#All],2,FALSE)</f>
        <v>#N/A</v>
      </c>
      <c r="D9" s="125"/>
      <c r="E9" s="122" t="e">
        <f>VLOOKUP(Table257519913140106110151155170178204259[[#This Row],[PEG]],Table1016[#All],3,FALSE)</f>
        <v>#N/A</v>
      </c>
    </row>
    <row r="10" spans="1:5">
      <c r="A10" s="114">
        <v>3</v>
      </c>
      <c r="B10" s="110" t="s">
        <v>115</v>
      </c>
      <c r="C10" s="105" t="e">
        <f>VLOOKUP(Table257519913140106110151155170178204259[[#This Row],[PEG]],Table1016[#All],2,FALSE)</f>
        <v>#N/A</v>
      </c>
      <c r="D10" s="125"/>
      <c r="E10" s="122" t="e">
        <f>VLOOKUP(Table257519913140106110151155170178204259[[#This Row],[PEG]],Table1016[#All],3,FALSE)</f>
        <v>#N/A</v>
      </c>
    </row>
    <row r="11" spans="1:5">
      <c r="A11" s="114">
        <v>4</v>
      </c>
      <c r="B11" s="110" t="s">
        <v>115</v>
      </c>
      <c r="C11" s="105" t="e">
        <f>VLOOKUP(Table257519913140106110151155170178204259[[#This Row],[PEG]],Table1016[#All],2,FALSE)</f>
        <v>#N/A</v>
      </c>
      <c r="D11" s="125"/>
      <c r="E11" s="122" t="e">
        <f>VLOOKUP(Table257519913140106110151155170178204259[[#This Row],[PEG]],Table1016[#All],3,FALSE)</f>
        <v>#N/A</v>
      </c>
    </row>
    <row r="12" spans="1:5">
      <c r="A12" s="114">
        <v>5</v>
      </c>
      <c r="B12" s="110" t="s">
        <v>114</v>
      </c>
      <c r="C12" s="105" t="e">
        <f>VLOOKUP(Table257519913140106110151155170178204259[[#This Row],[PEG]],Table1016[#All],2,FALSE)</f>
        <v>#N/A</v>
      </c>
      <c r="D12" s="125"/>
      <c r="E12" s="122" t="e">
        <f>VLOOKUP(Table257519913140106110151155170178204259[[#This Row],[PEG]],Table1016[#All],3,FALSE)</f>
        <v>#N/A</v>
      </c>
    </row>
    <row r="13" spans="1:5">
      <c r="A13" s="114">
        <v>6</v>
      </c>
      <c r="B13" s="110" t="s">
        <v>115</v>
      </c>
      <c r="C13" s="105" t="e">
        <f>VLOOKUP(Table257519913140106110151155170178204259[[#This Row],[PEG]],Table1016[#All],2,FALSE)</f>
        <v>#N/A</v>
      </c>
      <c r="D13" s="125"/>
      <c r="E13" s="122" t="e">
        <f>VLOOKUP(Table257519913140106110151155170178204259[[#This Row],[PEG]],Table1016[#All],3,FALSE)</f>
        <v>#N/A</v>
      </c>
    </row>
    <row r="14" spans="1:5">
      <c r="A14" s="114">
        <v>7</v>
      </c>
      <c r="B14" s="110" t="s">
        <v>114</v>
      </c>
      <c r="C14" s="105" t="e">
        <f>VLOOKUP(Table257519913140106110151155170178204259[[#This Row],[PEG]],Table1016[#All],2,FALSE)</f>
        <v>#N/A</v>
      </c>
      <c r="D14" s="125"/>
      <c r="E14" s="122" t="e">
        <f>VLOOKUP(Table257519913140106110151155170178204259[[#This Row],[PEG]],Table1016[#All],3,FALSE)</f>
        <v>#N/A</v>
      </c>
    </row>
    <row r="15" spans="1:5">
      <c r="A15" s="114">
        <v>8</v>
      </c>
      <c r="B15" s="110" t="s">
        <v>115</v>
      </c>
      <c r="C15" s="105" t="e">
        <f>VLOOKUP(Table257519913140106110151155170178204259[[#This Row],[PEG]],Table1016[#All],2,FALSE)</f>
        <v>#N/A</v>
      </c>
      <c r="D15" s="112"/>
      <c r="E15" s="122" t="e">
        <f>VLOOKUP(Table257519913140106110151155170178204259[[#This Row],[PEG]],Table1016[#All],3,FALSE)</f>
        <v>#N/A</v>
      </c>
    </row>
    <row r="16" spans="1:5">
      <c r="A16" s="114">
        <v>9</v>
      </c>
      <c r="B16" s="110" t="s">
        <v>12</v>
      </c>
      <c r="C16" s="105" t="e">
        <f>VLOOKUP(Table257519913140106110151155170178204259[[#This Row],[PEG]],Table1016[#All],2,FALSE)</f>
        <v>#N/A</v>
      </c>
      <c r="D16" s="112"/>
      <c r="E16" s="122" t="e">
        <f>VLOOKUP(Table257519913140106110151155170178204259[[#This Row],[PEG]],Table1016[#All],3,FALSE)</f>
        <v>#N/A</v>
      </c>
    </row>
    <row r="17" spans="1:5">
      <c r="A17" s="114">
        <v>10</v>
      </c>
      <c r="B17" s="110" t="s">
        <v>12</v>
      </c>
      <c r="C17" s="105" t="e">
        <f>VLOOKUP(Table257519913140106110151155170178204259[[#This Row],[PEG]],Table1016[#All],2,FALSE)</f>
        <v>#N/A</v>
      </c>
      <c r="D17" s="113"/>
      <c r="E17" s="122" t="e">
        <f>VLOOKUP(Table257519913140106110151155170178204259[[#This Row],[PEG]],Table1016[#All],3,FALSE)</f>
        <v>#N/A</v>
      </c>
    </row>
    <row r="18" spans="1:5">
      <c r="A18" s="114">
        <v>11</v>
      </c>
      <c r="B18" s="110" t="s">
        <v>115</v>
      </c>
      <c r="C18" s="105" t="e">
        <f>VLOOKUP(Table257519913140106110151155170178204259[[#This Row],[PEG]],Table1016[#All],2,FALSE)</f>
        <v>#N/A</v>
      </c>
      <c r="D18" s="113"/>
      <c r="E18" s="122" t="e">
        <f>VLOOKUP(Table257519913140106110151155170178204259[[#This Row],[PEG]],Table1016[#All],3,FALSE)</f>
        <v>#N/A</v>
      </c>
    </row>
    <row r="19" spans="1:5">
      <c r="A19" s="114">
        <v>12</v>
      </c>
      <c r="B19" s="110" t="s">
        <v>115</v>
      </c>
      <c r="C19" s="105" t="e">
        <f>VLOOKUP(Table257519913140106110151155170178204259[[#This Row],[PEG]],Table1016[#All],2,FALSE)</f>
        <v>#N/A</v>
      </c>
      <c r="D19" s="113"/>
      <c r="E19" s="122" t="e">
        <f>VLOOKUP(Table257519913140106110151155170178204259[[#This Row],[PEG]],Table1016[#All],3,FALSE)</f>
        <v>#N/A</v>
      </c>
    </row>
    <row r="20" spans="1:5">
      <c r="A20" s="114">
        <v>13</v>
      </c>
      <c r="B20" s="110" t="s">
        <v>114</v>
      </c>
      <c r="C20" s="105" t="e">
        <f>VLOOKUP(Table257519913140106110151155170178204259[[#This Row],[PEG]],Table1016[#All],2,FALSE)</f>
        <v>#N/A</v>
      </c>
      <c r="D20" s="113"/>
      <c r="E20" s="122" t="e">
        <f>VLOOKUP(Table257519913140106110151155170178204259[[#This Row],[PEG]],Table1016[#All],3,FALSE)</f>
        <v>#N/A</v>
      </c>
    </row>
    <row r="21" spans="1:5">
      <c r="A21" s="114">
        <v>14</v>
      </c>
      <c r="B21" s="110" t="s">
        <v>12</v>
      </c>
      <c r="C21" s="105" t="e">
        <f>VLOOKUP(Table257519913140106110151155170178204259[[#This Row],[PEG]],Table1016[#All],2,FALSE)</f>
        <v>#N/A</v>
      </c>
      <c r="D21" s="113"/>
      <c r="E21" s="122" t="e">
        <f>VLOOKUP(Table257519913140106110151155170178204259[[#This Row],[PEG]],Table1016[#All],3,FALSE)</f>
        <v>#N/A</v>
      </c>
    </row>
    <row r="22" spans="1:5">
      <c r="A22" s="114">
        <v>15</v>
      </c>
      <c r="B22" s="110" t="s">
        <v>12</v>
      </c>
      <c r="C22" s="105" t="e">
        <f>VLOOKUP(Table257519913140106110151155170178204259[[#This Row],[PEG]],Table1016[#All],2,FALSE)</f>
        <v>#N/A</v>
      </c>
      <c r="D22" s="113"/>
      <c r="E22" s="122" t="e">
        <f>VLOOKUP(Table257519913140106110151155170178204259[[#This Row],[PEG]],Table1016[#All],3,FALSE)</f>
        <v>#N/A</v>
      </c>
    </row>
    <row r="23" spans="1:5">
      <c r="A23" s="114">
        <v>16</v>
      </c>
      <c r="B23" s="110" t="s">
        <v>115</v>
      </c>
      <c r="C23" s="105" t="e">
        <f>VLOOKUP(Table257519913140106110151155170178204259[[#This Row],[PEG]],Table1016[#All],2,FALSE)</f>
        <v>#N/A</v>
      </c>
      <c r="D23" s="113"/>
      <c r="E23" s="122" t="e">
        <f>VLOOKUP(Table257519913140106110151155170178204259[[#This Row],[PEG]],Table1016[#All],3,FALSE)</f>
        <v>#N/A</v>
      </c>
    </row>
    <row r="24" spans="1:5">
      <c r="A24" s="114">
        <v>17</v>
      </c>
      <c r="B24" s="110" t="s">
        <v>114</v>
      </c>
      <c r="C24" s="105" t="e">
        <f>VLOOKUP(Table257519913140106110151155170178204259[[#This Row],[PEG]],Table1016[#All],2,FALSE)</f>
        <v>#N/A</v>
      </c>
      <c r="D24" s="113"/>
      <c r="E24" s="122" t="e">
        <f>VLOOKUP(Table257519913140106110151155170178204259[[#This Row],[PEG]],Table1016[#All],3,FALSE)</f>
        <v>#N/A</v>
      </c>
    </row>
    <row r="25" spans="1:5">
      <c r="A25" s="114">
        <v>18</v>
      </c>
      <c r="B25" s="110" t="s">
        <v>12</v>
      </c>
      <c r="C25" s="105" t="e">
        <f>VLOOKUP(Table257519913140106110151155170178204259[[#This Row],[PEG]],Table1016[#All],2,FALSE)</f>
        <v>#N/A</v>
      </c>
      <c r="D25" s="113"/>
      <c r="E25" s="122" t="e">
        <f>VLOOKUP(Table257519913140106110151155170178204259[[#This Row],[PEG]],Table1016[#All],3,FALSE)</f>
        <v>#N/A</v>
      </c>
    </row>
    <row r="26" spans="1:5">
      <c r="A26" s="114">
        <v>19</v>
      </c>
      <c r="B26" s="110" t="s">
        <v>12</v>
      </c>
      <c r="C26" s="105" t="e">
        <f>VLOOKUP(Table257519913140106110151155170178204259[[#This Row],[PEG]],Table1016[#All],2,FALSE)</f>
        <v>#N/A</v>
      </c>
      <c r="D26" s="113"/>
      <c r="E26" s="122" t="e">
        <f>VLOOKUP(Table257519913140106110151155170178204259[[#This Row],[PEG]],Table1016[#All],3,FALSE)</f>
        <v>#N/A</v>
      </c>
    </row>
    <row r="27" spans="1:5">
      <c r="A27" s="114">
        <v>20</v>
      </c>
      <c r="B27" s="110" t="s">
        <v>115</v>
      </c>
      <c r="C27" s="105" t="e">
        <f>VLOOKUP(Table257519913140106110151155170178204259[[#This Row],[PEG]],Table1016[#All],2,FALSE)</f>
        <v>#N/A</v>
      </c>
      <c r="D27" s="113"/>
      <c r="E27" s="122" t="e">
        <f>VLOOKUP(Table257519913140106110151155170178204259[[#This Row],[PEG]],Table1016[#All],3,FALSE)</f>
        <v>#N/A</v>
      </c>
    </row>
    <row r="28" spans="1:5">
      <c r="A28" s="114">
        <v>21</v>
      </c>
      <c r="B28" s="110" t="s">
        <v>114</v>
      </c>
      <c r="C28" s="105" t="e">
        <f>VLOOKUP(Table257519913140106110151155170178204259[[#This Row],[PEG]],Table1016[#All],2,FALSE)</f>
        <v>#N/A</v>
      </c>
      <c r="D28" s="113"/>
      <c r="E28" s="122" t="e">
        <f>VLOOKUP(Table257519913140106110151155170178204259[[#This Row],[PEG]],Table1016[#All],3,FALSE)</f>
        <v>#N/A</v>
      </c>
    </row>
    <row r="29" spans="1:5">
      <c r="A29" s="114">
        <v>22</v>
      </c>
      <c r="B29" s="110" t="s">
        <v>12</v>
      </c>
      <c r="C29" s="105" t="e">
        <f>VLOOKUP(Table257519913140106110151155170178204259[[#This Row],[PEG]],Table1016[#All],2,FALSE)</f>
        <v>#N/A</v>
      </c>
      <c r="D29" s="113"/>
      <c r="E29" s="122" t="e">
        <f>VLOOKUP(Table257519913140106110151155170178204259[[#This Row],[PEG]],Table1016[#All],3,FALSE)</f>
        <v>#N/A</v>
      </c>
    </row>
    <row r="30" spans="1:5">
      <c r="A30" s="114">
        <v>23</v>
      </c>
      <c r="B30" s="110" t="s">
        <v>12</v>
      </c>
      <c r="C30" s="105" t="e">
        <f>VLOOKUP(Table257519913140106110151155170178204259[[#This Row],[PEG]],Table1016[#All],2,FALSE)</f>
        <v>#N/A</v>
      </c>
      <c r="D30" s="113"/>
      <c r="E30" s="122" t="e">
        <f>VLOOKUP(Table257519913140106110151155170178204259[[#This Row],[PEG]],Table1016[#All],3,FALSE)</f>
        <v>#N/A</v>
      </c>
    </row>
    <row r="31" spans="1:5">
      <c r="A31" s="114">
        <v>24</v>
      </c>
      <c r="B31" s="110" t="s">
        <v>115</v>
      </c>
      <c r="C31" s="105" t="e">
        <f>VLOOKUP(Table257519913140106110151155170178204259[[#This Row],[PEG]],Table1016[#All],2,FALSE)</f>
        <v>#N/A</v>
      </c>
      <c r="D31" s="113"/>
      <c r="E31" s="122" t="e">
        <f>VLOOKUP(Table257519913140106110151155170178204259[[#This Row],[PEG]],Table1016[#All],3,FALSE)</f>
        <v>#N/A</v>
      </c>
    </row>
    <row r="32" spans="1:5">
      <c r="A32" s="114">
        <v>25</v>
      </c>
      <c r="B32" s="110" t="s">
        <v>115</v>
      </c>
      <c r="C32" s="105" t="e">
        <f>VLOOKUP(Table257519913140106110151155170178204259[[#This Row],[PEG]],Table1016[#All],2,FALSE)</f>
        <v>#N/A</v>
      </c>
      <c r="D32" s="113"/>
      <c r="E32" s="122" t="e">
        <f>VLOOKUP(Table257519913140106110151155170178204259[[#This Row],[PEG]],Table1016[#All],3,FALSE)</f>
        <v>#N/A</v>
      </c>
    </row>
    <row r="33" spans="1:5">
      <c r="A33" s="114">
        <v>26</v>
      </c>
      <c r="B33" s="110" t="s">
        <v>124</v>
      </c>
      <c r="C33" s="105" t="e">
        <f>VLOOKUP(Table257519913140106110151155170178204259[[#This Row],[PEG]],Table1016[#All],2,FALSE)</f>
        <v>#N/A</v>
      </c>
      <c r="D33" s="113"/>
      <c r="E33" s="122" t="e">
        <f>VLOOKUP(Table257519913140106110151155170178204259[[#This Row],[PEG]],Table1016[#All],3,FALSE)</f>
        <v>#N/A</v>
      </c>
    </row>
    <row r="34" spans="1:5">
      <c r="A34" s="114">
        <v>27</v>
      </c>
      <c r="B34" s="110" t="s">
        <v>115</v>
      </c>
      <c r="C34" s="105" t="e">
        <f>VLOOKUP(Table257519913140106110151155170178204259[[#This Row],[PEG]],Table1016[#All],2,FALSE)</f>
        <v>#N/A</v>
      </c>
      <c r="D34" s="113"/>
      <c r="E34" s="122" t="e">
        <f>VLOOKUP(Table257519913140106110151155170178204259[[#This Row],[PEG]],Table1016[#All],3,FALSE)</f>
        <v>#N/A</v>
      </c>
    </row>
    <row r="35" spans="1:5">
      <c r="A35" s="114">
        <v>28</v>
      </c>
      <c r="B35" s="110" t="s">
        <v>124</v>
      </c>
      <c r="C35" s="105" t="e">
        <f>VLOOKUP(Table257519913140106110151155170178204259[[#This Row],[PEG]],Table1016[#All],2,FALSE)</f>
        <v>#N/A</v>
      </c>
      <c r="D35" s="113"/>
      <c r="E35" s="122" t="e">
        <f>VLOOKUP(Table257519913140106110151155170178204259[[#This Row],[PEG]],Table1016[#All],3,FALSE)</f>
        <v>#N/A</v>
      </c>
    </row>
    <row r="36" spans="1:5">
      <c r="A36" s="114">
        <v>29</v>
      </c>
      <c r="B36" s="110" t="s">
        <v>115</v>
      </c>
      <c r="C36" s="105" t="e">
        <f>VLOOKUP(Table257519913140106110151155170178204259[[#This Row],[PEG]],Table1016[#All],2,FALSE)</f>
        <v>#N/A</v>
      </c>
      <c r="D36" s="113"/>
      <c r="E36" s="122" t="e">
        <f>VLOOKUP(Table257519913140106110151155170178204259[[#This Row],[PEG]],Table1016[#All],3,FALSE)</f>
        <v>#N/A</v>
      </c>
    </row>
    <row r="37" spans="1:5">
      <c r="A37" s="114">
        <v>30</v>
      </c>
      <c r="B37" s="110" t="s">
        <v>12</v>
      </c>
      <c r="C37" s="105" t="e">
        <f>VLOOKUP(Table257519913140106110151155170178204259[[#This Row],[PEG]],Table1016[#All],2,FALSE)</f>
        <v>#N/A</v>
      </c>
      <c r="D37" s="113"/>
      <c r="E37" s="122" t="e">
        <f>VLOOKUP(Table257519913140106110151155170178204259[[#This Row],[PEG]],Table1016[#All],3,FALSE)</f>
        <v>#N/A</v>
      </c>
    </row>
    <row r="38" spans="1:5">
      <c r="A38" s="114">
        <v>31</v>
      </c>
      <c r="B38" s="110" t="s">
        <v>12</v>
      </c>
      <c r="C38" s="105" t="e">
        <f>VLOOKUP(Table257519913140106110151155170178204259[[#This Row],[PEG]],Table1016[#All],2,FALSE)</f>
        <v>#N/A</v>
      </c>
      <c r="D38" s="113"/>
      <c r="E38" s="122" t="e">
        <f>VLOOKUP(Table257519913140106110151155170178204259[[#This Row],[PEG]],Table1016[#All],3,FALSE)</f>
        <v>#N/A</v>
      </c>
    </row>
    <row r="39" spans="1:5">
      <c r="A39" s="114">
        <v>32</v>
      </c>
      <c r="B39" s="110" t="s">
        <v>12</v>
      </c>
      <c r="C39" s="105" t="e">
        <f>VLOOKUP(Table257519913140106110151155170178204259[[#This Row],[PEG]],Table1016[#All],2,FALSE)</f>
        <v>#N/A</v>
      </c>
      <c r="D39" s="113"/>
      <c r="E39" s="122" t="e">
        <f>VLOOKUP(Table257519913140106110151155170178204259[[#This Row],[PEG]],Table1016[#All],3,FALSE)</f>
        <v>#N/A</v>
      </c>
    </row>
    <row r="40" spans="1:5">
      <c r="A40" s="114">
        <v>33</v>
      </c>
      <c r="B40" s="110" t="s">
        <v>12</v>
      </c>
      <c r="C40" s="105" t="e">
        <f>VLOOKUP(Table257519913140106110151155170178204259[[#This Row],[PEG]],Table1016[#All],2,FALSE)</f>
        <v>#N/A</v>
      </c>
      <c r="D40" s="113"/>
      <c r="E40" s="122" t="e">
        <f>VLOOKUP(Table257519913140106110151155170178204259[[#This Row],[PEG]],Table1016[#All],3,FALSE)</f>
        <v>#N/A</v>
      </c>
    </row>
    <row r="41" spans="1:5">
      <c r="A41" s="114">
        <v>34</v>
      </c>
      <c r="B41" s="110" t="s">
        <v>115</v>
      </c>
      <c r="C41" s="105" t="e">
        <f>VLOOKUP(Table257519913140106110151155170178204259[[#This Row],[PEG]],Table1016[#All],2,FALSE)</f>
        <v>#N/A</v>
      </c>
      <c r="D41" s="113"/>
      <c r="E41" s="122" t="e">
        <f>VLOOKUP(Table257519913140106110151155170178204259[[#This Row],[PEG]],Table1016[#All],3,FALSE)</f>
        <v>#N/A</v>
      </c>
    </row>
    <row r="42" spans="1:5">
      <c r="A42" s="114">
        <v>35</v>
      </c>
      <c r="B42" s="110" t="s">
        <v>12</v>
      </c>
      <c r="C42" s="105" t="e">
        <f>VLOOKUP(Table257519913140106110151155170178204259[[#This Row],[PEG]],Table1016[#All],2,FALSE)</f>
        <v>#N/A</v>
      </c>
      <c r="D42" s="111"/>
      <c r="E42" s="122" t="e">
        <f>VLOOKUP(Table257519913140106110151155170178204259[[#This Row],[PEG]],Table1016[#All],3,FALSE)</f>
        <v>#N/A</v>
      </c>
    </row>
    <row r="43" spans="1:5">
      <c r="A43" s="114">
        <v>36</v>
      </c>
      <c r="B43" s="110" t="s">
        <v>115</v>
      </c>
      <c r="C43" s="105" t="e">
        <f>VLOOKUP(Table257519913140106110151155170178204259[[#This Row],[PEG]],Table1016[#All],2,FALSE)</f>
        <v>#N/A</v>
      </c>
      <c r="D43" s="111"/>
      <c r="E43" s="122" t="e">
        <f>VLOOKUP(Table257519913140106110151155170178204259[[#This Row],[PEG]],Table1016[#All],3,FALSE)</f>
        <v>#N/A</v>
      </c>
    </row>
    <row r="44" spans="1:5">
      <c r="A44" s="114">
        <v>37</v>
      </c>
      <c r="B44" s="110" t="s">
        <v>13</v>
      </c>
      <c r="C44" s="17" t="s">
        <v>13</v>
      </c>
      <c r="D44" s="111"/>
      <c r="E44" s="31"/>
    </row>
  </sheetData>
  <mergeCells count="1">
    <mergeCell ref="A1:B1"/>
  </mergeCells>
  <conditionalFormatting sqref="B8:B18">
    <cfRule type="containsText" dxfId="720" priority="1" operator="containsText" text="Hear">
      <formula>NOT(ISERROR(SEARCH("Hear",B8)))</formula>
    </cfRule>
  </conditionalFormatting>
  <conditionalFormatting sqref="B30">
    <cfRule type="containsText" dxfId="719" priority="4" operator="containsText" text="Hear">
      <formula>NOT(ISERROR(SEARCH("Hear",B30)))</formula>
    </cfRule>
  </conditionalFormatting>
  <conditionalFormatting sqref="B43:B44">
    <cfRule type="containsText" dxfId="718" priority="8" operator="containsText" text="Hear">
      <formula>NOT(ISERROR(SEARCH("Hear",B43)))</formula>
    </cfRule>
  </conditionalFormatting>
  <conditionalFormatting sqref="E44">
    <cfRule type="containsText" dxfId="717" priority="6" operator="containsText" text="WEB SERVICE">
      <formula>NOT(ISERROR(SEARCH("WEB SERVICE",E44)))</formula>
    </cfRule>
    <cfRule type="containsText" dxfId="716" priority="7" operator="containsText" text="DB">
      <formula>NOT(ISERROR(SEARCH("DB",E44)))</formula>
    </cfRule>
  </conditionalFormatting>
  <conditionalFormatting sqref="C44">
    <cfRule type="expression" dxfId="715" priority="9">
      <formula>$B44="Dial"</formula>
    </cfRule>
  </conditionalFormatting>
  <conditionalFormatting sqref="C44">
    <cfRule type="expression" dxfId="714" priority="3">
      <formula>$B44="Speak"</formula>
    </cfRule>
  </conditionalFormatting>
  <conditionalFormatting sqref="B19:B29 B31:B35 B42">
    <cfRule type="containsText" dxfId="713" priority="5" operator="containsText" text="Hear">
      <formula>NOT(ISERROR(SEARCH("Hear",B19)))</formula>
    </cfRule>
  </conditionalFormatting>
  <hyperlinks>
    <hyperlink ref="A1" location="'Test Case Overview'!A1" display="Return to Test Case Overview" xr:uid="{00000000-0004-0000-AF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E15B3611-82CD-4DD5-9A9F-8C552D413D52}">
            <xm:f>'TC1'!$B8="HANGUP"</xm:f>
            <x14:dxf>
              <font>
                <b/>
                <i val="0"/>
              </font>
            </x14:dxf>
          </x14:cfRule>
          <xm:sqref>C8</xm:sqref>
        </x14:conditionalFormatting>
        <x14:conditionalFormatting xmlns:xm="http://schemas.microsoft.com/office/excel/2006/main">
          <x14:cfRule type="expression" priority="3349" id="{E15B3611-82CD-4DD5-9A9F-8C552D413D52}">
            <xm:f>'TC1'!$B14="HANGUP"</xm:f>
            <x14:dxf>
              <font>
                <b/>
                <i val="0"/>
              </font>
            </x14:dxf>
          </x14:cfRule>
          <xm:sqref>C34:C43</xm:sqref>
        </x14:conditionalFormatting>
        <x14:conditionalFormatting xmlns:xm="http://schemas.microsoft.com/office/excel/2006/main">
          <x14:cfRule type="expression" priority="3350" id="{E15B3611-82CD-4DD5-9A9F-8C552D413D52}">
            <xm:f>'TC1'!#REF!="HANGUP"</xm:f>
            <x14:dxf>
              <font>
                <b/>
                <i val="0"/>
              </font>
            </x14:dxf>
          </x14:cfRule>
          <xm:sqref>C13:C33</xm:sqref>
        </x14:conditionalFormatting>
        <x14:conditionalFormatting xmlns:xm="http://schemas.microsoft.com/office/excel/2006/main">
          <x14:cfRule type="expression" priority="4601" id="{E15B3611-82CD-4DD5-9A9F-8C552D413D52}">
            <xm:f>'TC1'!$B10="HANGUP"</xm:f>
            <x14:dxf>
              <font>
                <b/>
                <i val="0"/>
              </font>
            </x14:dxf>
          </x14:cfRule>
          <xm:sqref>C9:C12</xm:sqref>
        </x14:conditionalFormatting>
      </x14:conditionalFormattings>
    </ext>
  </extLst>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000-000000000000}">
  <sheetPr codeName="Sheet178"/>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TC176</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VLOOKUP(Table257519913140106110151155170178204261[[#This Row],[PEG]],Table1016[#All],2,FALSE)</f>
        <v>#N/A</v>
      </c>
      <c r="D9" s="125"/>
      <c r="E9" s="122" t="e">
        <f>VLOOKUP(Table257519913140106110151155170178204261[[#This Row],[PEG]],Table1016[#All],3,FALSE)</f>
        <v>#N/A</v>
      </c>
    </row>
    <row r="10" spans="1:5">
      <c r="A10" s="114">
        <v>3</v>
      </c>
      <c r="B10" s="110" t="s">
        <v>115</v>
      </c>
      <c r="C10" s="105" t="e">
        <f>VLOOKUP(Table257519913140106110151155170178204261[[#This Row],[PEG]],Table1016[#All],2,FALSE)</f>
        <v>#N/A</v>
      </c>
      <c r="D10" s="125"/>
      <c r="E10" s="122" t="e">
        <f>VLOOKUP(Table257519913140106110151155170178204261[[#This Row],[PEG]],Table1016[#All],3,FALSE)</f>
        <v>#N/A</v>
      </c>
    </row>
    <row r="11" spans="1:5">
      <c r="A11" s="114">
        <v>4</v>
      </c>
      <c r="B11" s="110" t="s">
        <v>115</v>
      </c>
      <c r="C11" s="105" t="e">
        <f>VLOOKUP(Table257519913140106110151155170178204261[[#This Row],[PEG]],Table1016[#All],2,FALSE)</f>
        <v>#N/A</v>
      </c>
      <c r="D11" s="125"/>
      <c r="E11" s="122" t="e">
        <f>VLOOKUP(Table257519913140106110151155170178204261[[#This Row],[PEG]],Table1016[#All],3,FALSE)</f>
        <v>#N/A</v>
      </c>
    </row>
    <row r="12" spans="1:5">
      <c r="A12" s="114">
        <v>5</v>
      </c>
      <c r="B12" s="110" t="s">
        <v>114</v>
      </c>
      <c r="C12" s="105" t="e">
        <f>VLOOKUP(Table257519913140106110151155170178204261[[#This Row],[PEG]],Table1016[#All],2,FALSE)</f>
        <v>#N/A</v>
      </c>
      <c r="D12" s="125"/>
      <c r="E12" s="122" t="e">
        <f>VLOOKUP(Table257519913140106110151155170178204261[[#This Row],[PEG]],Table1016[#All],3,FALSE)</f>
        <v>#N/A</v>
      </c>
    </row>
    <row r="13" spans="1:5">
      <c r="A13" s="114">
        <v>6</v>
      </c>
      <c r="B13" s="110" t="s">
        <v>115</v>
      </c>
      <c r="C13" s="105" t="e">
        <f>VLOOKUP(Table257519913140106110151155170178204261[[#This Row],[PEG]],Table1016[#All],2,FALSE)</f>
        <v>#N/A</v>
      </c>
      <c r="D13" s="125"/>
      <c r="E13" s="122" t="e">
        <f>VLOOKUP(Table257519913140106110151155170178204261[[#This Row],[PEG]],Table1016[#All],3,FALSE)</f>
        <v>#N/A</v>
      </c>
    </row>
    <row r="14" spans="1:5">
      <c r="A14" s="114">
        <v>7</v>
      </c>
      <c r="B14" s="110" t="s">
        <v>114</v>
      </c>
      <c r="C14" s="105" t="e">
        <f>VLOOKUP(Table257519913140106110151155170178204261[[#This Row],[PEG]],Table1016[#All],2,FALSE)</f>
        <v>#N/A</v>
      </c>
      <c r="D14" s="125"/>
      <c r="E14" s="122" t="e">
        <f>VLOOKUP(Table257519913140106110151155170178204261[[#This Row],[PEG]],Table1016[#All],3,FALSE)</f>
        <v>#N/A</v>
      </c>
    </row>
    <row r="15" spans="1:5">
      <c r="A15" s="114">
        <v>8</v>
      </c>
      <c r="B15" s="110" t="s">
        <v>115</v>
      </c>
      <c r="C15" s="105" t="e">
        <f>VLOOKUP(Table257519913140106110151155170178204261[[#This Row],[PEG]],Table1016[#All],2,FALSE)</f>
        <v>#N/A</v>
      </c>
      <c r="D15" s="112"/>
      <c r="E15" s="122" t="e">
        <f>VLOOKUP(Table257519913140106110151155170178204261[[#This Row],[PEG]],Table1016[#All],3,FALSE)</f>
        <v>#N/A</v>
      </c>
    </row>
    <row r="16" spans="1:5">
      <c r="A16" s="114">
        <v>9</v>
      </c>
      <c r="B16" s="110" t="s">
        <v>12</v>
      </c>
      <c r="C16" s="105" t="e">
        <f>VLOOKUP(Table257519913140106110151155170178204261[[#This Row],[PEG]],Table1016[#All],2,FALSE)</f>
        <v>#N/A</v>
      </c>
      <c r="D16" s="112"/>
      <c r="E16" s="122" t="e">
        <f>VLOOKUP(Table257519913140106110151155170178204261[[#This Row],[PEG]],Table1016[#All],3,FALSE)</f>
        <v>#N/A</v>
      </c>
    </row>
    <row r="17" spans="1:5">
      <c r="A17" s="114">
        <v>10</v>
      </c>
      <c r="B17" s="110" t="s">
        <v>12</v>
      </c>
      <c r="C17" s="105" t="e">
        <f>VLOOKUP(Table257519913140106110151155170178204261[[#This Row],[PEG]],Table1016[#All],2,FALSE)</f>
        <v>#N/A</v>
      </c>
      <c r="D17" s="113"/>
      <c r="E17" s="122" t="e">
        <f>VLOOKUP(Table257519913140106110151155170178204261[[#This Row],[PEG]],Table1016[#All],3,FALSE)</f>
        <v>#N/A</v>
      </c>
    </row>
    <row r="18" spans="1:5">
      <c r="A18" s="114">
        <v>11</v>
      </c>
      <c r="B18" s="110" t="s">
        <v>115</v>
      </c>
      <c r="C18" s="105" t="e">
        <f>VLOOKUP(Table257519913140106110151155170178204261[[#This Row],[PEG]],Table1016[#All],2,FALSE)</f>
        <v>#N/A</v>
      </c>
      <c r="D18" s="113"/>
      <c r="E18" s="122" t="e">
        <f>VLOOKUP(Table257519913140106110151155170178204261[[#This Row],[PEG]],Table1016[#All],3,FALSE)</f>
        <v>#N/A</v>
      </c>
    </row>
    <row r="19" spans="1:5">
      <c r="A19" s="114">
        <v>12</v>
      </c>
      <c r="B19" s="110" t="s">
        <v>115</v>
      </c>
      <c r="C19" s="105" t="e">
        <f>VLOOKUP(Table257519913140106110151155170178204261[[#This Row],[PEG]],Table1016[#All],2,FALSE)</f>
        <v>#N/A</v>
      </c>
      <c r="D19" s="113"/>
      <c r="E19" s="122" t="e">
        <f>VLOOKUP(Table257519913140106110151155170178204261[[#This Row],[PEG]],Table1016[#All],3,FALSE)</f>
        <v>#N/A</v>
      </c>
    </row>
    <row r="20" spans="1:5">
      <c r="A20" s="114">
        <v>13</v>
      </c>
      <c r="B20" s="110" t="s">
        <v>114</v>
      </c>
      <c r="C20" s="105" t="e">
        <f>VLOOKUP(Table257519913140106110151155170178204261[[#This Row],[PEG]],Table1016[#All],2,FALSE)</f>
        <v>#N/A</v>
      </c>
      <c r="D20" s="113"/>
      <c r="E20" s="122" t="e">
        <f>VLOOKUP(Table257519913140106110151155170178204261[[#This Row],[PEG]],Table1016[#All],3,FALSE)</f>
        <v>#N/A</v>
      </c>
    </row>
    <row r="21" spans="1:5">
      <c r="A21" s="114">
        <v>14</v>
      </c>
      <c r="B21" s="110" t="s">
        <v>12</v>
      </c>
      <c r="C21" s="105" t="e">
        <f>VLOOKUP(Table257519913140106110151155170178204261[[#This Row],[PEG]],Table1016[#All],2,FALSE)</f>
        <v>#N/A</v>
      </c>
      <c r="D21" s="113"/>
      <c r="E21" s="122" t="e">
        <f>VLOOKUP(Table257519913140106110151155170178204261[[#This Row],[PEG]],Table1016[#All],3,FALSE)</f>
        <v>#N/A</v>
      </c>
    </row>
    <row r="22" spans="1:5">
      <c r="A22" s="114">
        <v>15</v>
      </c>
      <c r="B22" s="110" t="s">
        <v>12</v>
      </c>
      <c r="C22" s="105" t="e">
        <f>VLOOKUP(Table257519913140106110151155170178204261[[#This Row],[PEG]],Table1016[#All],2,FALSE)</f>
        <v>#N/A</v>
      </c>
      <c r="D22" s="113"/>
      <c r="E22" s="122" t="e">
        <f>VLOOKUP(Table257519913140106110151155170178204261[[#This Row],[PEG]],Table1016[#All],3,FALSE)</f>
        <v>#N/A</v>
      </c>
    </row>
    <row r="23" spans="1:5">
      <c r="A23" s="114">
        <v>16</v>
      </c>
      <c r="B23" s="110" t="s">
        <v>115</v>
      </c>
      <c r="C23" s="105" t="e">
        <f>VLOOKUP(Table257519913140106110151155170178204261[[#This Row],[PEG]],Table1016[#All],2,FALSE)</f>
        <v>#N/A</v>
      </c>
      <c r="D23" s="113"/>
      <c r="E23" s="122" t="e">
        <f>VLOOKUP(Table257519913140106110151155170178204261[[#This Row],[PEG]],Table1016[#All],3,FALSE)</f>
        <v>#N/A</v>
      </c>
    </row>
    <row r="24" spans="1:5">
      <c r="A24" s="114">
        <v>17</v>
      </c>
      <c r="B24" s="110" t="s">
        <v>114</v>
      </c>
      <c r="C24" s="105" t="e">
        <f>VLOOKUP(Table257519913140106110151155170178204261[[#This Row],[PEG]],Table1016[#All],2,FALSE)</f>
        <v>#N/A</v>
      </c>
      <c r="D24" s="113"/>
      <c r="E24" s="122" t="e">
        <f>VLOOKUP(Table257519913140106110151155170178204261[[#This Row],[PEG]],Table1016[#All],3,FALSE)</f>
        <v>#N/A</v>
      </c>
    </row>
    <row r="25" spans="1:5">
      <c r="A25" s="114">
        <v>18</v>
      </c>
      <c r="B25" s="110" t="s">
        <v>12</v>
      </c>
      <c r="C25" s="105" t="e">
        <f>VLOOKUP(Table257519913140106110151155170178204261[[#This Row],[PEG]],Table1016[#All],2,FALSE)</f>
        <v>#N/A</v>
      </c>
      <c r="D25" s="113"/>
      <c r="E25" s="122" t="e">
        <f>VLOOKUP(Table257519913140106110151155170178204261[[#This Row],[PEG]],Table1016[#All],3,FALSE)</f>
        <v>#N/A</v>
      </c>
    </row>
    <row r="26" spans="1:5">
      <c r="A26" s="114">
        <v>19</v>
      </c>
      <c r="B26" s="110" t="s">
        <v>12</v>
      </c>
      <c r="C26" s="105" t="e">
        <f>VLOOKUP(Table257519913140106110151155170178204261[[#This Row],[PEG]],Table1016[#All],2,FALSE)</f>
        <v>#N/A</v>
      </c>
      <c r="D26" s="113"/>
      <c r="E26" s="122" t="e">
        <f>VLOOKUP(Table257519913140106110151155170178204261[[#This Row],[PEG]],Table1016[#All],3,FALSE)</f>
        <v>#N/A</v>
      </c>
    </row>
    <row r="27" spans="1:5">
      <c r="A27" s="114">
        <v>20</v>
      </c>
      <c r="B27" s="110" t="s">
        <v>115</v>
      </c>
      <c r="C27" s="105" t="e">
        <f>VLOOKUP(Table257519913140106110151155170178204261[[#This Row],[PEG]],Table1016[#All],2,FALSE)</f>
        <v>#N/A</v>
      </c>
      <c r="D27" s="113"/>
      <c r="E27" s="122" t="e">
        <f>VLOOKUP(Table257519913140106110151155170178204261[[#This Row],[PEG]],Table1016[#All],3,FALSE)</f>
        <v>#N/A</v>
      </c>
    </row>
    <row r="28" spans="1:5">
      <c r="A28" s="114">
        <v>21</v>
      </c>
      <c r="B28" s="110" t="s">
        <v>114</v>
      </c>
      <c r="C28" s="105" t="e">
        <f>VLOOKUP(Table257519913140106110151155170178204261[[#This Row],[PEG]],Table1016[#All],2,FALSE)</f>
        <v>#N/A</v>
      </c>
      <c r="D28" s="113"/>
      <c r="E28" s="122" t="e">
        <f>VLOOKUP(Table257519913140106110151155170178204261[[#This Row],[PEG]],Table1016[#All],3,FALSE)</f>
        <v>#N/A</v>
      </c>
    </row>
    <row r="29" spans="1:5">
      <c r="A29" s="114">
        <v>22</v>
      </c>
      <c r="B29" s="110" t="s">
        <v>12</v>
      </c>
      <c r="C29" s="105" t="e">
        <f>VLOOKUP(Table257519913140106110151155170178204261[[#This Row],[PEG]],Table1016[#All],2,FALSE)</f>
        <v>#N/A</v>
      </c>
      <c r="D29" s="113"/>
      <c r="E29" s="122" t="e">
        <f>VLOOKUP(Table257519913140106110151155170178204261[[#This Row],[PEG]],Table1016[#All],3,FALSE)</f>
        <v>#N/A</v>
      </c>
    </row>
    <row r="30" spans="1:5">
      <c r="A30" s="114">
        <v>23</v>
      </c>
      <c r="B30" s="110" t="s">
        <v>12</v>
      </c>
      <c r="C30" s="105" t="e">
        <f>VLOOKUP(Table257519913140106110151155170178204261[[#This Row],[PEG]],Table1016[#All],2,FALSE)</f>
        <v>#N/A</v>
      </c>
      <c r="D30" s="113"/>
      <c r="E30" s="122" t="e">
        <f>VLOOKUP(Table257519913140106110151155170178204261[[#This Row],[PEG]],Table1016[#All],3,FALSE)</f>
        <v>#N/A</v>
      </c>
    </row>
    <row r="31" spans="1:5">
      <c r="A31" s="114">
        <v>24</v>
      </c>
      <c r="B31" s="110" t="s">
        <v>115</v>
      </c>
      <c r="C31" s="105" t="e">
        <f>VLOOKUP(Table257519913140106110151155170178204261[[#This Row],[PEG]],Table1016[#All],2,FALSE)</f>
        <v>#N/A</v>
      </c>
      <c r="D31" s="113"/>
      <c r="E31" s="122" t="e">
        <f>VLOOKUP(Table257519913140106110151155170178204261[[#This Row],[PEG]],Table1016[#All],3,FALSE)</f>
        <v>#N/A</v>
      </c>
    </row>
    <row r="32" spans="1:5">
      <c r="A32" s="114">
        <v>25</v>
      </c>
      <c r="B32" s="110" t="s">
        <v>115</v>
      </c>
      <c r="C32" s="105" t="e">
        <f>VLOOKUP(Table257519913140106110151155170178204261[[#This Row],[PEG]],Table1016[#All],2,FALSE)</f>
        <v>#N/A</v>
      </c>
      <c r="D32" s="113"/>
      <c r="E32" s="122" t="e">
        <f>VLOOKUP(Table257519913140106110151155170178204261[[#This Row],[PEG]],Table1016[#All],3,FALSE)</f>
        <v>#N/A</v>
      </c>
    </row>
    <row r="33" spans="1:5">
      <c r="A33" s="114">
        <v>26</v>
      </c>
      <c r="B33" s="110" t="s">
        <v>124</v>
      </c>
      <c r="C33" s="105" t="e">
        <f>VLOOKUP(Table257519913140106110151155170178204261[[#This Row],[PEG]],Table1016[#All],2,FALSE)</f>
        <v>#N/A</v>
      </c>
      <c r="D33" s="113"/>
      <c r="E33" s="122" t="e">
        <f>VLOOKUP(Table257519913140106110151155170178204261[[#This Row],[PEG]],Table1016[#All],3,FALSE)</f>
        <v>#N/A</v>
      </c>
    </row>
    <row r="34" spans="1:5">
      <c r="A34" s="114">
        <v>27</v>
      </c>
      <c r="B34" s="110" t="s">
        <v>115</v>
      </c>
      <c r="C34" s="105" t="e">
        <f>VLOOKUP(Table257519913140106110151155170178204261[[#This Row],[PEG]],Table1016[#All],2,FALSE)</f>
        <v>#N/A</v>
      </c>
      <c r="D34" s="113"/>
      <c r="E34" s="122" t="e">
        <f>VLOOKUP(Table257519913140106110151155170178204261[[#This Row],[PEG]],Table1016[#All],3,FALSE)</f>
        <v>#N/A</v>
      </c>
    </row>
    <row r="35" spans="1:5">
      <c r="A35" s="114">
        <v>28</v>
      </c>
      <c r="B35" s="110" t="s">
        <v>124</v>
      </c>
      <c r="C35" s="105" t="e">
        <f>VLOOKUP(Table257519913140106110151155170178204261[[#This Row],[PEG]],Table1016[#All],2,FALSE)</f>
        <v>#N/A</v>
      </c>
      <c r="D35" s="113"/>
      <c r="E35" s="122" t="e">
        <f>VLOOKUP(Table257519913140106110151155170178204261[[#This Row],[PEG]],Table1016[#All],3,FALSE)</f>
        <v>#N/A</v>
      </c>
    </row>
    <row r="36" spans="1:5">
      <c r="A36" s="114">
        <v>29</v>
      </c>
      <c r="B36" s="110" t="s">
        <v>115</v>
      </c>
      <c r="C36" s="105" t="e">
        <f>VLOOKUP(Table257519913140106110151155170178204261[[#This Row],[PEG]],Table1016[#All],2,FALSE)</f>
        <v>#N/A</v>
      </c>
      <c r="D36" s="113"/>
      <c r="E36" s="122" t="e">
        <f>VLOOKUP(Table257519913140106110151155170178204261[[#This Row],[PEG]],Table1016[#All],3,FALSE)</f>
        <v>#N/A</v>
      </c>
    </row>
    <row r="37" spans="1:5">
      <c r="A37" s="114">
        <v>30</v>
      </c>
      <c r="B37" s="110" t="s">
        <v>12</v>
      </c>
      <c r="C37" s="105" t="e">
        <f>VLOOKUP(Table257519913140106110151155170178204261[[#This Row],[PEG]],Table1016[#All],2,FALSE)</f>
        <v>#N/A</v>
      </c>
      <c r="D37" s="113"/>
      <c r="E37" s="122" t="e">
        <f>VLOOKUP(Table257519913140106110151155170178204261[[#This Row],[PEG]],Table1016[#All],3,FALSE)</f>
        <v>#N/A</v>
      </c>
    </row>
    <row r="38" spans="1:5">
      <c r="A38" s="114">
        <v>31</v>
      </c>
      <c r="B38" s="110" t="s">
        <v>12</v>
      </c>
      <c r="C38" s="105" t="e">
        <f>VLOOKUP(Table257519913140106110151155170178204261[[#This Row],[PEG]],Table1016[#All],2,FALSE)</f>
        <v>#N/A</v>
      </c>
      <c r="D38" s="113"/>
      <c r="E38" s="122" t="e">
        <f>VLOOKUP(Table257519913140106110151155170178204261[[#This Row],[PEG]],Table1016[#All],3,FALSE)</f>
        <v>#N/A</v>
      </c>
    </row>
    <row r="39" spans="1:5">
      <c r="A39" s="114">
        <v>32</v>
      </c>
      <c r="B39" s="110" t="s">
        <v>12</v>
      </c>
      <c r="C39" s="105" t="e">
        <f>VLOOKUP(Table257519913140106110151155170178204261[[#This Row],[PEG]],Table1016[#All],2,FALSE)</f>
        <v>#N/A</v>
      </c>
      <c r="D39" s="113"/>
      <c r="E39" s="122" t="e">
        <f>VLOOKUP(Table257519913140106110151155170178204261[[#This Row],[PEG]],Table1016[#All],3,FALSE)</f>
        <v>#N/A</v>
      </c>
    </row>
    <row r="40" spans="1:5">
      <c r="A40" s="114">
        <v>33</v>
      </c>
      <c r="B40" s="110" t="s">
        <v>12</v>
      </c>
      <c r="C40" s="105" t="e">
        <f>VLOOKUP(Table257519913140106110151155170178204261[[#This Row],[PEG]],Table1016[#All],2,FALSE)</f>
        <v>#N/A</v>
      </c>
      <c r="D40" s="113"/>
      <c r="E40" s="122" t="e">
        <f>VLOOKUP(Table257519913140106110151155170178204261[[#This Row],[PEG]],Table1016[#All],3,FALSE)</f>
        <v>#N/A</v>
      </c>
    </row>
    <row r="41" spans="1:5">
      <c r="A41" s="114">
        <v>34</v>
      </c>
      <c r="B41" s="110" t="s">
        <v>115</v>
      </c>
      <c r="C41" s="105" t="e">
        <f>VLOOKUP(Table257519913140106110151155170178204261[[#This Row],[PEG]],Table1016[#All],2,FALSE)</f>
        <v>#N/A</v>
      </c>
      <c r="D41" s="113"/>
      <c r="E41" s="122" t="e">
        <f>VLOOKUP(Table257519913140106110151155170178204261[[#This Row],[PEG]],Table1016[#All],3,FALSE)</f>
        <v>#N/A</v>
      </c>
    </row>
    <row r="42" spans="1:5">
      <c r="A42" s="114">
        <v>35</v>
      </c>
      <c r="B42" s="110" t="s">
        <v>12</v>
      </c>
      <c r="C42" s="105" t="e">
        <f>VLOOKUP(Table257519913140106110151155170178204261[[#This Row],[PEG]],Table1016[#All],2,FALSE)</f>
        <v>#N/A</v>
      </c>
      <c r="D42" s="111"/>
      <c r="E42" s="122" t="e">
        <f>VLOOKUP(Table257519913140106110151155170178204261[[#This Row],[PEG]],Table1016[#All],3,FALSE)</f>
        <v>#N/A</v>
      </c>
    </row>
    <row r="43" spans="1:5">
      <c r="A43" s="114">
        <v>36</v>
      </c>
      <c r="B43" s="110" t="s">
        <v>115</v>
      </c>
      <c r="C43" s="105" t="e">
        <f>VLOOKUP(Table257519913140106110151155170178204261[[#This Row],[PEG]],Table1016[#All],2,FALSE)</f>
        <v>#N/A</v>
      </c>
      <c r="D43" s="111"/>
      <c r="E43" s="122" t="e">
        <f>VLOOKUP(Table257519913140106110151155170178204261[[#This Row],[PEG]],Table1016[#All],3,FALSE)</f>
        <v>#N/A</v>
      </c>
    </row>
    <row r="44" spans="1:5">
      <c r="A44" s="114">
        <v>37</v>
      </c>
      <c r="B44" s="110" t="s">
        <v>13</v>
      </c>
      <c r="C44" s="17" t="s">
        <v>13</v>
      </c>
      <c r="D44" s="111"/>
      <c r="E44" s="31"/>
    </row>
  </sheetData>
  <mergeCells count="1">
    <mergeCell ref="A1:B1"/>
  </mergeCells>
  <conditionalFormatting sqref="B8:B18">
    <cfRule type="containsText" dxfId="699" priority="1" operator="containsText" text="Hear">
      <formula>NOT(ISERROR(SEARCH("Hear",B8)))</formula>
    </cfRule>
  </conditionalFormatting>
  <conditionalFormatting sqref="B30">
    <cfRule type="containsText" dxfId="698" priority="4" operator="containsText" text="Hear">
      <formula>NOT(ISERROR(SEARCH("Hear",B30)))</formula>
    </cfRule>
  </conditionalFormatting>
  <conditionalFormatting sqref="B43:B44">
    <cfRule type="containsText" dxfId="697" priority="8" operator="containsText" text="Hear">
      <formula>NOT(ISERROR(SEARCH("Hear",B43)))</formula>
    </cfRule>
  </conditionalFormatting>
  <conditionalFormatting sqref="E44">
    <cfRule type="containsText" dxfId="696" priority="6" operator="containsText" text="WEB SERVICE">
      <formula>NOT(ISERROR(SEARCH("WEB SERVICE",E44)))</formula>
    </cfRule>
    <cfRule type="containsText" dxfId="695" priority="7" operator="containsText" text="DB">
      <formula>NOT(ISERROR(SEARCH("DB",E44)))</formula>
    </cfRule>
  </conditionalFormatting>
  <conditionalFormatting sqref="C44">
    <cfRule type="expression" dxfId="694" priority="9">
      <formula>$B44="Dial"</formula>
    </cfRule>
  </conditionalFormatting>
  <conditionalFormatting sqref="C44">
    <cfRule type="expression" dxfId="693" priority="3">
      <formula>$B44="Speak"</formula>
    </cfRule>
  </conditionalFormatting>
  <conditionalFormatting sqref="B19:B29 B31:B35 B42">
    <cfRule type="containsText" dxfId="692" priority="5" operator="containsText" text="Hear">
      <formula>NOT(ISERROR(SEARCH("Hear",B19)))</formula>
    </cfRule>
  </conditionalFormatting>
  <hyperlinks>
    <hyperlink ref="A1" location="'Test Case Overview'!A1" display="Return to Test Case Overview" xr:uid="{00000000-0004-0000-B0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8FF10F79-E7CD-45E0-BE8C-4F08F5C796C1}">
            <xm:f>'TC1'!$B8="HANGUP"</xm:f>
            <x14:dxf>
              <font>
                <b/>
                <i val="0"/>
              </font>
            </x14:dxf>
          </x14:cfRule>
          <xm:sqref>C8</xm:sqref>
        </x14:conditionalFormatting>
        <x14:conditionalFormatting xmlns:xm="http://schemas.microsoft.com/office/excel/2006/main">
          <x14:cfRule type="expression" priority="3353" id="{8FF10F79-E7CD-45E0-BE8C-4F08F5C796C1}">
            <xm:f>'TC1'!$B14="HANGUP"</xm:f>
            <x14:dxf>
              <font>
                <b/>
                <i val="0"/>
              </font>
            </x14:dxf>
          </x14:cfRule>
          <xm:sqref>C34:C43</xm:sqref>
        </x14:conditionalFormatting>
        <x14:conditionalFormatting xmlns:xm="http://schemas.microsoft.com/office/excel/2006/main">
          <x14:cfRule type="expression" priority="3354" id="{8FF10F79-E7CD-45E0-BE8C-4F08F5C796C1}">
            <xm:f>'TC1'!#REF!="HANGUP"</xm:f>
            <x14:dxf>
              <font>
                <b/>
                <i val="0"/>
              </font>
            </x14:dxf>
          </x14:cfRule>
          <xm:sqref>C13:C33</xm:sqref>
        </x14:conditionalFormatting>
        <x14:conditionalFormatting xmlns:xm="http://schemas.microsoft.com/office/excel/2006/main">
          <x14:cfRule type="expression" priority="4603" id="{8FF10F79-E7CD-45E0-BE8C-4F08F5C796C1}">
            <xm:f>'TC1'!$B10="HANGUP"</xm:f>
            <x14:dxf>
              <font>
                <b/>
                <i val="0"/>
              </font>
            </x14:dxf>
          </x14:cfRule>
          <xm:sqref>C9:C12</xm:sqref>
        </x14:conditionalFormatting>
      </x14:conditionalFormattings>
    </ext>
  </extLst>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100-000000000000}">
  <sheetPr codeName="Sheet179"/>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TC177</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VLOOKUP(Table257519913140106110151155170178204263[[#This Row],[PEG]],Table1016[#All],2,FALSE)</f>
        <v>#N/A</v>
      </c>
      <c r="D9" s="125"/>
      <c r="E9" s="122" t="e">
        <f>VLOOKUP(Table257519913140106110151155170178204263[[#This Row],[PEG]],Table1016[#All],3,FALSE)</f>
        <v>#N/A</v>
      </c>
    </row>
    <row r="10" spans="1:5">
      <c r="A10" s="114">
        <v>3</v>
      </c>
      <c r="B10" s="110" t="s">
        <v>115</v>
      </c>
      <c r="C10" s="105" t="e">
        <f>VLOOKUP(Table257519913140106110151155170178204263[[#This Row],[PEG]],Table1016[#All],2,FALSE)</f>
        <v>#N/A</v>
      </c>
      <c r="D10" s="125"/>
      <c r="E10" s="122" t="e">
        <f>VLOOKUP(Table257519913140106110151155170178204263[[#This Row],[PEG]],Table1016[#All],3,FALSE)</f>
        <v>#N/A</v>
      </c>
    </row>
    <row r="11" spans="1:5">
      <c r="A11" s="114">
        <v>4</v>
      </c>
      <c r="B11" s="110" t="s">
        <v>115</v>
      </c>
      <c r="C11" s="105" t="e">
        <f>VLOOKUP(Table257519913140106110151155170178204263[[#This Row],[PEG]],Table1016[#All],2,FALSE)</f>
        <v>#N/A</v>
      </c>
      <c r="D11" s="125"/>
      <c r="E11" s="122" t="e">
        <f>VLOOKUP(Table257519913140106110151155170178204263[[#This Row],[PEG]],Table1016[#All],3,FALSE)</f>
        <v>#N/A</v>
      </c>
    </row>
    <row r="12" spans="1:5">
      <c r="A12" s="114">
        <v>5</v>
      </c>
      <c r="B12" s="110" t="s">
        <v>114</v>
      </c>
      <c r="C12" s="105" t="e">
        <f>VLOOKUP(Table257519913140106110151155170178204263[[#This Row],[PEG]],Table1016[#All],2,FALSE)</f>
        <v>#N/A</v>
      </c>
      <c r="D12" s="125"/>
      <c r="E12" s="122" t="e">
        <f>VLOOKUP(Table257519913140106110151155170178204263[[#This Row],[PEG]],Table1016[#All],3,FALSE)</f>
        <v>#N/A</v>
      </c>
    </row>
    <row r="13" spans="1:5">
      <c r="A13" s="114">
        <v>6</v>
      </c>
      <c r="B13" s="110" t="s">
        <v>115</v>
      </c>
      <c r="C13" s="105" t="e">
        <f>VLOOKUP(Table257519913140106110151155170178204263[[#This Row],[PEG]],Table1016[#All],2,FALSE)</f>
        <v>#N/A</v>
      </c>
      <c r="D13" s="125"/>
      <c r="E13" s="122" t="e">
        <f>VLOOKUP(Table257519913140106110151155170178204263[[#This Row],[PEG]],Table1016[#All],3,FALSE)</f>
        <v>#N/A</v>
      </c>
    </row>
    <row r="14" spans="1:5">
      <c r="A14" s="114">
        <v>7</v>
      </c>
      <c r="B14" s="110" t="s">
        <v>114</v>
      </c>
      <c r="C14" s="105" t="e">
        <f>VLOOKUP(Table257519913140106110151155170178204263[[#This Row],[PEG]],Table1016[#All],2,FALSE)</f>
        <v>#N/A</v>
      </c>
      <c r="D14" s="125"/>
      <c r="E14" s="122" t="e">
        <f>VLOOKUP(Table257519913140106110151155170178204263[[#This Row],[PEG]],Table1016[#All],3,FALSE)</f>
        <v>#N/A</v>
      </c>
    </row>
    <row r="15" spans="1:5">
      <c r="A15" s="114">
        <v>8</v>
      </c>
      <c r="B15" s="110" t="s">
        <v>115</v>
      </c>
      <c r="C15" s="105" t="e">
        <f>VLOOKUP(Table257519913140106110151155170178204263[[#This Row],[PEG]],Table1016[#All],2,FALSE)</f>
        <v>#N/A</v>
      </c>
      <c r="D15" s="112"/>
      <c r="E15" s="122" t="e">
        <f>VLOOKUP(Table257519913140106110151155170178204263[[#This Row],[PEG]],Table1016[#All],3,FALSE)</f>
        <v>#N/A</v>
      </c>
    </row>
    <row r="16" spans="1:5">
      <c r="A16" s="114">
        <v>9</v>
      </c>
      <c r="B16" s="110" t="s">
        <v>12</v>
      </c>
      <c r="C16" s="105" t="e">
        <f>VLOOKUP(Table257519913140106110151155170178204263[[#This Row],[PEG]],Table1016[#All],2,FALSE)</f>
        <v>#N/A</v>
      </c>
      <c r="D16" s="112"/>
      <c r="E16" s="122" t="e">
        <f>VLOOKUP(Table257519913140106110151155170178204263[[#This Row],[PEG]],Table1016[#All],3,FALSE)</f>
        <v>#N/A</v>
      </c>
    </row>
    <row r="17" spans="1:5">
      <c r="A17" s="114">
        <v>10</v>
      </c>
      <c r="B17" s="110" t="s">
        <v>12</v>
      </c>
      <c r="C17" s="105" t="e">
        <f>VLOOKUP(Table257519913140106110151155170178204263[[#This Row],[PEG]],Table1016[#All],2,FALSE)</f>
        <v>#N/A</v>
      </c>
      <c r="D17" s="113"/>
      <c r="E17" s="122" t="e">
        <f>VLOOKUP(Table257519913140106110151155170178204263[[#This Row],[PEG]],Table1016[#All],3,FALSE)</f>
        <v>#N/A</v>
      </c>
    </row>
    <row r="18" spans="1:5">
      <c r="A18" s="114">
        <v>11</v>
      </c>
      <c r="B18" s="110" t="s">
        <v>115</v>
      </c>
      <c r="C18" s="105" t="e">
        <f>VLOOKUP(Table257519913140106110151155170178204263[[#This Row],[PEG]],Table1016[#All],2,FALSE)</f>
        <v>#N/A</v>
      </c>
      <c r="D18" s="113"/>
      <c r="E18" s="122" t="e">
        <f>VLOOKUP(Table257519913140106110151155170178204263[[#This Row],[PEG]],Table1016[#All],3,FALSE)</f>
        <v>#N/A</v>
      </c>
    </row>
    <row r="19" spans="1:5">
      <c r="A19" s="114">
        <v>12</v>
      </c>
      <c r="B19" s="110" t="s">
        <v>115</v>
      </c>
      <c r="C19" s="105" t="e">
        <f>VLOOKUP(Table257519913140106110151155170178204263[[#This Row],[PEG]],Table1016[#All],2,FALSE)</f>
        <v>#N/A</v>
      </c>
      <c r="D19" s="113"/>
      <c r="E19" s="122" t="e">
        <f>VLOOKUP(Table257519913140106110151155170178204263[[#This Row],[PEG]],Table1016[#All],3,FALSE)</f>
        <v>#N/A</v>
      </c>
    </row>
    <row r="20" spans="1:5">
      <c r="A20" s="114">
        <v>13</v>
      </c>
      <c r="B20" s="110" t="s">
        <v>114</v>
      </c>
      <c r="C20" s="105" t="e">
        <f>VLOOKUP(Table257519913140106110151155170178204263[[#This Row],[PEG]],Table1016[#All],2,FALSE)</f>
        <v>#N/A</v>
      </c>
      <c r="D20" s="113"/>
      <c r="E20" s="122" t="e">
        <f>VLOOKUP(Table257519913140106110151155170178204263[[#This Row],[PEG]],Table1016[#All],3,FALSE)</f>
        <v>#N/A</v>
      </c>
    </row>
    <row r="21" spans="1:5">
      <c r="A21" s="114">
        <v>14</v>
      </c>
      <c r="B21" s="110" t="s">
        <v>12</v>
      </c>
      <c r="C21" s="105" t="e">
        <f>VLOOKUP(Table257519913140106110151155170178204263[[#This Row],[PEG]],Table1016[#All],2,FALSE)</f>
        <v>#N/A</v>
      </c>
      <c r="D21" s="113"/>
      <c r="E21" s="122" t="e">
        <f>VLOOKUP(Table257519913140106110151155170178204263[[#This Row],[PEG]],Table1016[#All],3,FALSE)</f>
        <v>#N/A</v>
      </c>
    </row>
    <row r="22" spans="1:5">
      <c r="A22" s="114">
        <v>15</v>
      </c>
      <c r="B22" s="110" t="s">
        <v>12</v>
      </c>
      <c r="C22" s="105" t="e">
        <f>VLOOKUP(Table257519913140106110151155170178204263[[#This Row],[PEG]],Table1016[#All],2,FALSE)</f>
        <v>#N/A</v>
      </c>
      <c r="D22" s="113"/>
      <c r="E22" s="122" t="e">
        <f>VLOOKUP(Table257519913140106110151155170178204263[[#This Row],[PEG]],Table1016[#All],3,FALSE)</f>
        <v>#N/A</v>
      </c>
    </row>
    <row r="23" spans="1:5">
      <c r="A23" s="114">
        <v>16</v>
      </c>
      <c r="B23" s="110" t="s">
        <v>115</v>
      </c>
      <c r="C23" s="105" t="e">
        <f>VLOOKUP(Table257519913140106110151155170178204263[[#This Row],[PEG]],Table1016[#All],2,FALSE)</f>
        <v>#N/A</v>
      </c>
      <c r="D23" s="113"/>
      <c r="E23" s="122" t="e">
        <f>VLOOKUP(Table257519913140106110151155170178204263[[#This Row],[PEG]],Table1016[#All],3,FALSE)</f>
        <v>#N/A</v>
      </c>
    </row>
    <row r="24" spans="1:5">
      <c r="A24" s="114">
        <v>17</v>
      </c>
      <c r="B24" s="110" t="s">
        <v>114</v>
      </c>
      <c r="C24" s="105" t="e">
        <f>VLOOKUP(Table257519913140106110151155170178204263[[#This Row],[PEG]],Table1016[#All],2,FALSE)</f>
        <v>#N/A</v>
      </c>
      <c r="D24" s="113"/>
      <c r="E24" s="122" t="e">
        <f>VLOOKUP(Table257519913140106110151155170178204263[[#This Row],[PEG]],Table1016[#All],3,FALSE)</f>
        <v>#N/A</v>
      </c>
    </row>
    <row r="25" spans="1:5">
      <c r="A25" s="114">
        <v>18</v>
      </c>
      <c r="B25" s="110" t="s">
        <v>12</v>
      </c>
      <c r="C25" s="105" t="e">
        <f>VLOOKUP(Table257519913140106110151155170178204263[[#This Row],[PEG]],Table1016[#All],2,FALSE)</f>
        <v>#N/A</v>
      </c>
      <c r="D25" s="113"/>
      <c r="E25" s="122" t="e">
        <f>VLOOKUP(Table257519913140106110151155170178204263[[#This Row],[PEG]],Table1016[#All],3,FALSE)</f>
        <v>#N/A</v>
      </c>
    </row>
    <row r="26" spans="1:5">
      <c r="A26" s="114">
        <v>19</v>
      </c>
      <c r="B26" s="110" t="s">
        <v>12</v>
      </c>
      <c r="C26" s="105" t="e">
        <f>VLOOKUP(Table257519913140106110151155170178204263[[#This Row],[PEG]],Table1016[#All],2,FALSE)</f>
        <v>#N/A</v>
      </c>
      <c r="D26" s="113"/>
      <c r="E26" s="122" t="e">
        <f>VLOOKUP(Table257519913140106110151155170178204263[[#This Row],[PEG]],Table1016[#All],3,FALSE)</f>
        <v>#N/A</v>
      </c>
    </row>
    <row r="27" spans="1:5">
      <c r="A27" s="114">
        <v>20</v>
      </c>
      <c r="B27" s="110" t="s">
        <v>115</v>
      </c>
      <c r="C27" s="105" t="e">
        <f>VLOOKUP(Table257519913140106110151155170178204263[[#This Row],[PEG]],Table1016[#All],2,FALSE)</f>
        <v>#N/A</v>
      </c>
      <c r="D27" s="113"/>
      <c r="E27" s="122" t="e">
        <f>VLOOKUP(Table257519913140106110151155170178204263[[#This Row],[PEG]],Table1016[#All],3,FALSE)</f>
        <v>#N/A</v>
      </c>
    </row>
    <row r="28" spans="1:5">
      <c r="A28" s="114">
        <v>21</v>
      </c>
      <c r="B28" s="110" t="s">
        <v>114</v>
      </c>
      <c r="C28" s="105" t="e">
        <f>VLOOKUP(Table257519913140106110151155170178204263[[#This Row],[PEG]],Table1016[#All],2,FALSE)</f>
        <v>#N/A</v>
      </c>
      <c r="D28" s="113"/>
      <c r="E28" s="122" t="e">
        <f>VLOOKUP(Table257519913140106110151155170178204263[[#This Row],[PEG]],Table1016[#All],3,FALSE)</f>
        <v>#N/A</v>
      </c>
    </row>
    <row r="29" spans="1:5">
      <c r="A29" s="114">
        <v>22</v>
      </c>
      <c r="B29" s="110" t="s">
        <v>12</v>
      </c>
      <c r="C29" s="105" t="e">
        <f>VLOOKUP(Table257519913140106110151155170178204263[[#This Row],[PEG]],Table1016[#All],2,FALSE)</f>
        <v>#N/A</v>
      </c>
      <c r="D29" s="113"/>
      <c r="E29" s="122" t="e">
        <f>VLOOKUP(Table257519913140106110151155170178204263[[#This Row],[PEG]],Table1016[#All],3,FALSE)</f>
        <v>#N/A</v>
      </c>
    </row>
    <row r="30" spans="1:5">
      <c r="A30" s="114">
        <v>23</v>
      </c>
      <c r="B30" s="110" t="s">
        <v>12</v>
      </c>
      <c r="C30" s="105" t="e">
        <f>VLOOKUP(Table257519913140106110151155170178204263[[#This Row],[PEG]],Table1016[#All],2,FALSE)</f>
        <v>#N/A</v>
      </c>
      <c r="D30" s="113"/>
      <c r="E30" s="122" t="e">
        <f>VLOOKUP(Table257519913140106110151155170178204263[[#This Row],[PEG]],Table1016[#All],3,FALSE)</f>
        <v>#N/A</v>
      </c>
    </row>
    <row r="31" spans="1:5">
      <c r="A31" s="114">
        <v>24</v>
      </c>
      <c r="B31" s="110" t="s">
        <v>115</v>
      </c>
      <c r="C31" s="105" t="e">
        <f>VLOOKUP(Table257519913140106110151155170178204263[[#This Row],[PEG]],Table1016[#All],2,FALSE)</f>
        <v>#N/A</v>
      </c>
      <c r="D31" s="113"/>
      <c r="E31" s="122" t="e">
        <f>VLOOKUP(Table257519913140106110151155170178204263[[#This Row],[PEG]],Table1016[#All],3,FALSE)</f>
        <v>#N/A</v>
      </c>
    </row>
    <row r="32" spans="1:5">
      <c r="A32" s="114">
        <v>25</v>
      </c>
      <c r="B32" s="110" t="s">
        <v>115</v>
      </c>
      <c r="C32" s="105" t="e">
        <f>VLOOKUP(Table257519913140106110151155170178204263[[#This Row],[PEG]],Table1016[#All],2,FALSE)</f>
        <v>#N/A</v>
      </c>
      <c r="D32" s="113"/>
      <c r="E32" s="122" t="e">
        <f>VLOOKUP(Table257519913140106110151155170178204263[[#This Row],[PEG]],Table1016[#All],3,FALSE)</f>
        <v>#N/A</v>
      </c>
    </row>
    <row r="33" spans="1:5">
      <c r="A33" s="114">
        <v>26</v>
      </c>
      <c r="B33" s="110" t="s">
        <v>124</v>
      </c>
      <c r="C33" s="105" t="e">
        <f>VLOOKUP(Table257519913140106110151155170178204263[[#This Row],[PEG]],Table1016[#All],2,FALSE)</f>
        <v>#N/A</v>
      </c>
      <c r="D33" s="113"/>
      <c r="E33" s="122" t="e">
        <f>VLOOKUP(Table257519913140106110151155170178204263[[#This Row],[PEG]],Table1016[#All],3,FALSE)</f>
        <v>#N/A</v>
      </c>
    </row>
    <row r="34" spans="1:5">
      <c r="A34" s="114">
        <v>27</v>
      </c>
      <c r="B34" s="110" t="s">
        <v>115</v>
      </c>
      <c r="C34" s="105" t="e">
        <f>VLOOKUP(Table257519913140106110151155170178204263[[#This Row],[PEG]],Table1016[#All],2,FALSE)</f>
        <v>#N/A</v>
      </c>
      <c r="D34" s="113"/>
      <c r="E34" s="122" t="e">
        <f>VLOOKUP(Table257519913140106110151155170178204263[[#This Row],[PEG]],Table1016[#All],3,FALSE)</f>
        <v>#N/A</v>
      </c>
    </row>
    <row r="35" spans="1:5">
      <c r="A35" s="114">
        <v>28</v>
      </c>
      <c r="B35" s="110" t="s">
        <v>124</v>
      </c>
      <c r="C35" s="105" t="e">
        <f>VLOOKUP(Table257519913140106110151155170178204263[[#This Row],[PEG]],Table1016[#All],2,FALSE)</f>
        <v>#N/A</v>
      </c>
      <c r="D35" s="113"/>
      <c r="E35" s="122" t="e">
        <f>VLOOKUP(Table257519913140106110151155170178204263[[#This Row],[PEG]],Table1016[#All],3,FALSE)</f>
        <v>#N/A</v>
      </c>
    </row>
    <row r="36" spans="1:5">
      <c r="A36" s="114">
        <v>29</v>
      </c>
      <c r="B36" s="110" t="s">
        <v>115</v>
      </c>
      <c r="C36" s="105" t="e">
        <f>VLOOKUP(Table257519913140106110151155170178204263[[#This Row],[PEG]],Table1016[#All],2,FALSE)</f>
        <v>#N/A</v>
      </c>
      <c r="D36" s="113"/>
      <c r="E36" s="122" t="e">
        <f>VLOOKUP(Table257519913140106110151155170178204263[[#This Row],[PEG]],Table1016[#All],3,FALSE)</f>
        <v>#N/A</v>
      </c>
    </row>
    <row r="37" spans="1:5">
      <c r="A37" s="114">
        <v>30</v>
      </c>
      <c r="B37" s="110" t="s">
        <v>12</v>
      </c>
      <c r="C37" s="105" t="e">
        <f>VLOOKUP(Table257519913140106110151155170178204263[[#This Row],[PEG]],Table1016[#All],2,FALSE)</f>
        <v>#N/A</v>
      </c>
      <c r="D37" s="113"/>
      <c r="E37" s="122" t="e">
        <f>VLOOKUP(Table257519913140106110151155170178204263[[#This Row],[PEG]],Table1016[#All],3,FALSE)</f>
        <v>#N/A</v>
      </c>
    </row>
    <row r="38" spans="1:5">
      <c r="A38" s="114">
        <v>31</v>
      </c>
      <c r="B38" s="110" t="s">
        <v>12</v>
      </c>
      <c r="C38" s="105" t="e">
        <f>VLOOKUP(Table257519913140106110151155170178204263[[#This Row],[PEG]],Table1016[#All],2,FALSE)</f>
        <v>#N/A</v>
      </c>
      <c r="D38" s="113"/>
      <c r="E38" s="122" t="e">
        <f>VLOOKUP(Table257519913140106110151155170178204263[[#This Row],[PEG]],Table1016[#All],3,FALSE)</f>
        <v>#N/A</v>
      </c>
    </row>
    <row r="39" spans="1:5">
      <c r="A39" s="114">
        <v>32</v>
      </c>
      <c r="B39" s="110" t="s">
        <v>12</v>
      </c>
      <c r="C39" s="105" t="e">
        <f>VLOOKUP(Table257519913140106110151155170178204263[[#This Row],[PEG]],Table1016[#All],2,FALSE)</f>
        <v>#N/A</v>
      </c>
      <c r="D39" s="113"/>
      <c r="E39" s="122" t="e">
        <f>VLOOKUP(Table257519913140106110151155170178204263[[#This Row],[PEG]],Table1016[#All],3,FALSE)</f>
        <v>#N/A</v>
      </c>
    </row>
    <row r="40" spans="1:5">
      <c r="A40" s="114">
        <v>33</v>
      </c>
      <c r="B40" s="110" t="s">
        <v>12</v>
      </c>
      <c r="C40" s="105" t="e">
        <f>VLOOKUP(Table257519913140106110151155170178204263[[#This Row],[PEG]],Table1016[#All],2,FALSE)</f>
        <v>#N/A</v>
      </c>
      <c r="D40" s="113"/>
      <c r="E40" s="122" t="e">
        <f>VLOOKUP(Table257519913140106110151155170178204263[[#This Row],[PEG]],Table1016[#All],3,FALSE)</f>
        <v>#N/A</v>
      </c>
    </row>
    <row r="41" spans="1:5">
      <c r="A41" s="114">
        <v>34</v>
      </c>
      <c r="B41" s="110" t="s">
        <v>115</v>
      </c>
      <c r="C41" s="105" t="e">
        <f>VLOOKUP(Table257519913140106110151155170178204263[[#This Row],[PEG]],Table1016[#All],2,FALSE)</f>
        <v>#N/A</v>
      </c>
      <c r="D41" s="113"/>
      <c r="E41" s="122" t="e">
        <f>VLOOKUP(Table257519913140106110151155170178204263[[#This Row],[PEG]],Table1016[#All],3,FALSE)</f>
        <v>#N/A</v>
      </c>
    </row>
    <row r="42" spans="1:5">
      <c r="A42" s="114">
        <v>35</v>
      </c>
      <c r="B42" s="110" t="s">
        <v>12</v>
      </c>
      <c r="C42" s="105" t="e">
        <f>VLOOKUP(Table257519913140106110151155170178204263[[#This Row],[PEG]],Table1016[#All],2,FALSE)</f>
        <v>#N/A</v>
      </c>
      <c r="D42" s="111"/>
      <c r="E42" s="122" t="e">
        <f>VLOOKUP(Table257519913140106110151155170178204263[[#This Row],[PEG]],Table1016[#All],3,FALSE)</f>
        <v>#N/A</v>
      </c>
    </row>
    <row r="43" spans="1:5">
      <c r="A43" s="114">
        <v>36</v>
      </c>
      <c r="B43" s="110" t="s">
        <v>115</v>
      </c>
      <c r="C43" s="105" t="e">
        <f>VLOOKUP(Table257519913140106110151155170178204263[[#This Row],[PEG]],Table1016[#All],2,FALSE)</f>
        <v>#N/A</v>
      </c>
      <c r="D43" s="111"/>
      <c r="E43" s="122" t="e">
        <f>VLOOKUP(Table257519913140106110151155170178204263[[#This Row],[PEG]],Table1016[#All],3,FALSE)</f>
        <v>#N/A</v>
      </c>
    </row>
    <row r="44" spans="1:5">
      <c r="A44" s="114">
        <v>37</v>
      </c>
      <c r="B44" s="110" t="s">
        <v>13</v>
      </c>
      <c r="C44" s="17" t="s">
        <v>13</v>
      </c>
      <c r="D44" s="111"/>
      <c r="E44" s="31"/>
    </row>
  </sheetData>
  <mergeCells count="1">
    <mergeCell ref="A1:B1"/>
  </mergeCells>
  <conditionalFormatting sqref="B8:B18">
    <cfRule type="containsText" dxfId="678" priority="1" operator="containsText" text="Hear">
      <formula>NOT(ISERROR(SEARCH("Hear",B8)))</formula>
    </cfRule>
  </conditionalFormatting>
  <conditionalFormatting sqref="B30">
    <cfRule type="containsText" dxfId="677" priority="4" operator="containsText" text="Hear">
      <formula>NOT(ISERROR(SEARCH("Hear",B30)))</formula>
    </cfRule>
  </conditionalFormatting>
  <conditionalFormatting sqref="B43:B44">
    <cfRule type="containsText" dxfId="676" priority="8" operator="containsText" text="Hear">
      <formula>NOT(ISERROR(SEARCH("Hear",B43)))</formula>
    </cfRule>
  </conditionalFormatting>
  <conditionalFormatting sqref="E44">
    <cfRule type="containsText" dxfId="675" priority="6" operator="containsText" text="WEB SERVICE">
      <formula>NOT(ISERROR(SEARCH("WEB SERVICE",E44)))</formula>
    </cfRule>
    <cfRule type="containsText" dxfId="674" priority="7" operator="containsText" text="DB">
      <formula>NOT(ISERROR(SEARCH("DB",E44)))</formula>
    </cfRule>
  </conditionalFormatting>
  <conditionalFormatting sqref="C44">
    <cfRule type="expression" dxfId="673" priority="9">
      <formula>$B44="Dial"</formula>
    </cfRule>
  </conditionalFormatting>
  <conditionalFormatting sqref="C44">
    <cfRule type="expression" dxfId="672" priority="3">
      <formula>$B44="Speak"</formula>
    </cfRule>
  </conditionalFormatting>
  <conditionalFormatting sqref="B19:B29 B31:B35 B42">
    <cfRule type="containsText" dxfId="671" priority="5" operator="containsText" text="Hear">
      <formula>NOT(ISERROR(SEARCH("Hear",B19)))</formula>
    </cfRule>
  </conditionalFormatting>
  <hyperlinks>
    <hyperlink ref="A1" location="'Test Case Overview'!A1" display="Return to Test Case Overview" xr:uid="{00000000-0004-0000-B1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910AD6A2-D7D2-4536-8BA3-98944D4DB7AE}">
            <xm:f>'TC1'!$B8="HANGUP"</xm:f>
            <x14:dxf>
              <font>
                <b/>
                <i val="0"/>
              </font>
            </x14:dxf>
          </x14:cfRule>
          <xm:sqref>C8</xm:sqref>
        </x14:conditionalFormatting>
        <x14:conditionalFormatting xmlns:xm="http://schemas.microsoft.com/office/excel/2006/main">
          <x14:cfRule type="expression" priority="3357" id="{910AD6A2-D7D2-4536-8BA3-98944D4DB7AE}">
            <xm:f>'TC1'!$B14="HANGUP"</xm:f>
            <x14:dxf>
              <font>
                <b/>
                <i val="0"/>
              </font>
            </x14:dxf>
          </x14:cfRule>
          <xm:sqref>C34:C43</xm:sqref>
        </x14:conditionalFormatting>
        <x14:conditionalFormatting xmlns:xm="http://schemas.microsoft.com/office/excel/2006/main">
          <x14:cfRule type="expression" priority="3358" id="{910AD6A2-D7D2-4536-8BA3-98944D4DB7AE}">
            <xm:f>'TC1'!#REF!="HANGUP"</xm:f>
            <x14:dxf>
              <font>
                <b/>
                <i val="0"/>
              </font>
            </x14:dxf>
          </x14:cfRule>
          <xm:sqref>C13:C33</xm:sqref>
        </x14:conditionalFormatting>
        <x14:conditionalFormatting xmlns:xm="http://schemas.microsoft.com/office/excel/2006/main">
          <x14:cfRule type="expression" priority="4605" id="{910AD6A2-D7D2-4536-8BA3-98944D4DB7AE}">
            <xm:f>'TC1'!$B10="HANGUP"</xm:f>
            <x14:dxf>
              <font>
                <b/>
                <i val="0"/>
              </font>
            </x14:dxf>
          </x14:cfRule>
          <xm:sqref>C9:C12</xm:sqref>
        </x14:conditionalFormatting>
      </x14:conditionalFormattings>
    </ext>
  </extLst>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200-000000000000}">
  <sheetPr codeName="Sheet180"/>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TC178</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VLOOKUP(Table257519913140106110151155170178204265[[#This Row],[PEG]],Table1016[#All],2,FALSE)</f>
        <v>#N/A</v>
      </c>
      <c r="D9" s="125"/>
      <c r="E9" s="122" t="e">
        <f>VLOOKUP(Table257519913140106110151155170178204265[[#This Row],[PEG]],Table1016[#All],3,FALSE)</f>
        <v>#N/A</v>
      </c>
    </row>
    <row r="10" spans="1:5">
      <c r="A10" s="114">
        <v>3</v>
      </c>
      <c r="B10" s="110" t="s">
        <v>115</v>
      </c>
      <c r="C10" s="105" t="e">
        <f>VLOOKUP(Table257519913140106110151155170178204265[[#This Row],[PEG]],Table1016[#All],2,FALSE)</f>
        <v>#N/A</v>
      </c>
      <c r="D10" s="125"/>
      <c r="E10" s="122" t="e">
        <f>VLOOKUP(Table257519913140106110151155170178204265[[#This Row],[PEG]],Table1016[#All],3,FALSE)</f>
        <v>#N/A</v>
      </c>
    </row>
    <row r="11" spans="1:5">
      <c r="A11" s="114">
        <v>4</v>
      </c>
      <c r="B11" s="110" t="s">
        <v>115</v>
      </c>
      <c r="C11" s="105" t="e">
        <f>VLOOKUP(Table257519913140106110151155170178204265[[#This Row],[PEG]],Table1016[#All],2,FALSE)</f>
        <v>#N/A</v>
      </c>
      <c r="D11" s="125"/>
      <c r="E11" s="122" t="e">
        <f>VLOOKUP(Table257519913140106110151155170178204265[[#This Row],[PEG]],Table1016[#All],3,FALSE)</f>
        <v>#N/A</v>
      </c>
    </row>
    <row r="12" spans="1:5">
      <c r="A12" s="114">
        <v>5</v>
      </c>
      <c r="B12" s="110" t="s">
        <v>114</v>
      </c>
      <c r="C12" s="105" t="e">
        <f>VLOOKUP(Table257519913140106110151155170178204265[[#This Row],[PEG]],Table1016[#All],2,FALSE)</f>
        <v>#N/A</v>
      </c>
      <c r="D12" s="125"/>
      <c r="E12" s="122" t="e">
        <f>VLOOKUP(Table257519913140106110151155170178204265[[#This Row],[PEG]],Table1016[#All],3,FALSE)</f>
        <v>#N/A</v>
      </c>
    </row>
    <row r="13" spans="1:5">
      <c r="A13" s="114">
        <v>6</v>
      </c>
      <c r="B13" s="110" t="s">
        <v>115</v>
      </c>
      <c r="C13" s="105" t="e">
        <f>VLOOKUP(Table257519913140106110151155170178204265[[#This Row],[PEG]],Table1016[#All],2,FALSE)</f>
        <v>#N/A</v>
      </c>
      <c r="D13" s="125"/>
      <c r="E13" s="122" t="e">
        <f>VLOOKUP(Table257519913140106110151155170178204265[[#This Row],[PEG]],Table1016[#All],3,FALSE)</f>
        <v>#N/A</v>
      </c>
    </row>
    <row r="14" spans="1:5">
      <c r="A14" s="114">
        <v>7</v>
      </c>
      <c r="B14" s="110" t="s">
        <v>114</v>
      </c>
      <c r="C14" s="105" t="e">
        <f>VLOOKUP(Table257519913140106110151155170178204265[[#This Row],[PEG]],Table1016[#All],2,FALSE)</f>
        <v>#N/A</v>
      </c>
      <c r="D14" s="125"/>
      <c r="E14" s="122" t="e">
        <f>VLOOKUP(Table257519913140106110151155170178204265[[#This Row],[PEG]],Table1016[#All],3,FALSE)</f>
        <v>#N/A</v>
      </c>
    </row>
    <row r="15" spans="1:5">
      <c r="A15" s="114">
        <v>8</v>
      </c>
      <c r="B15" s="110" t="s">
        <v>115</v>
      </c>
      <c r="C15" s="105" t="e">
        <f>VLOOKUP(Table257519913140106110151155170178204265[[#This Row],[PEG]],Table1016[#All],2,FALSE)</f>
        <v>#N/A</v>
      </c>
      <c r="D15" s="112"/>
      <c r="E15" s="122" t="e">
        <f>VLOOKUP(Table257519913140106110151155170178204265[[#This Row],[PEG]],Table1016[#All],3,FALSE)</f>
        <v>#N/A</v>
      </c>
    </row>
    <row r="16" spans="1:5">
      <c r="A16" s="114">
        <v>9</v>
      </c>
      <c r="B16" s="110" t="s">
        <v>12</v>
      </c>
      <c r="C16" s="105" t="e">
        <f>VLOOKUP(Table257519913140106110151155170178204265[[#This Row],[PEG]],Table1016[#All],2,FALSE)</f>
        <v>#N/A</v>
      </c>
      <c r="D16" s="112"/>
      <c r="E16" s="122" t="e">
        <f>VLOOKUP(Table257519913140106110151155170178204265[[#This Row],[PEG]],Table1016[#All],3,FALSE)</f>
        <v>#N/A</v>
      </c>
    </row>
    <row r="17" spans="1:5">
      <c r="A17" s="114">
        <v>10</v>
      </c>
      <c r="B17" s="110" t="s">
        <v>12</v>
      </c>
      <c r="C17" s="105" t="e">
        <f>VLOOKUP(Table257519913140106110151155170178204265[[#This Row],[PEG]],Table1016[#All],2,FALSE)</f>
        <v>#N/A</v>
      </c>
      <c r="D17" s="113"/>
      <c r="E17" s="122" t="e">
        <f>VLOOKUP(Table257519913140106110151155170178204265[[#This Row],[PEG]],Table1016[#All],3,FALSE)</f>
        <v>#N/A</v>
      </c>
    </row>
    <row r="18" spans="1:5">
      <c r="A18" s="114">
        <v>11</v>
      </c>
      <c r="B18" s="110" t="s">
        <v>115</v>
      </c>
      <c r="C18" s="105" t="e">
        <f>VLOOKUP(Table257519913140106110151155170178204265[[#This Row],[PEG]],Table1016[#All],2,FALSE)</f>
        <v>#N/A</v>
      </c>
      <c r="D18" s="113"/>
      <c r="E18" s="122" t="e">
        <f>VLOOKUP(Table257519913140106110151155170178204265[[#This Row],[PEG]],Table1016[#All],3,FALSE)</f>
        <v>#N/A</v>
      </c>
    </row>
    <row r="19" spans="1:5">
      <c r="A19" s="114">
        <v>12</v>
      </c>
      <c r="B19" s="110" t="s">
        <v>115</v>
      </c>
      <c r="C19" s="105" t="e">
        <f>VLOOKUP(Table257519913140106110151155170178204265[[#This Row],[PEG]],Table1016[#All],2,FALSE)</f>
        <v>#N/A</v>
      </c>
      <c r="D19" s="113"/>
      <c r="E19" s="122" t="e">
        <f>VLOOKUP(Table257519913140106110151155170178204265[[#This Row],[PEG]],Table1016[#All],3,FALSE)</f>
        <v>#N/A</v>
      </c>
    </row>
    <row r="20" spans="1:5">
      <c r="A20" s="114">
        <v>13</v>
      </c>
      <c r="B20" s="110" t="s">
        <v>114</v>
      </c>
      <c r="C20" s="105" t="e">
        <f>VLOOKUP(Table257519913140106110151155170178204265[[#This Row],[PEG]],Table1016[#All],2,FALSE)</f>
        <v>#N/A</v>
      </c>
      <c r="D20" s="113"/>
      <c r="E20" s="122" t="e">
        <f>VLOOKUP(Table257519913140106110151155170178204265[[#This Row],[PEG]],Table1016[#All],3,FALSE)</f>
        <v>#N/A</v>
      </c>
    </row>
    <row r="21" spans="1:5">
      <c r="A21" s="114">
        <v>14</v>
      </c>
      <c r="B21" s="110" t="s">
        <v>12</v>
      </c>
      <c r="C21" s="105" t="e">
        <f>VLOOKUP(Table257519913140106110151155170178204265[[#This Row],[PEG]],Table1016[#All],2,FALSE)</f>
        <v>#N/A</v>
      </c>
      <c r="D21" s="113"/>
      <c r="E21" s="122" t="e">
        <f>VLOOKUP(Table257519913140106110151155170178204265[[#This Row],[PEG]],Table1016[#All],3,FALSE)</f>
        <v>#N/A</v>
      </c>
    </row>
    <row r="22" spans="1:5">
      <c r="A22" s="114">
        <v>15</v>
      </c>
      <c r="B22" s="110" t="s">
        <v>12</v>
      </c>
      <c r="C22" s="105" t="e">
        <f>VLOOKUP(Table257519913140106110151155170178204265[[#This Row],[PEG]],Table1016[#All],2,FALSE)</f>
        <v>#N/A</v>
      </c>
      <c r="D22" s="113"/>
      <c r="E22" s="122" t="e">
        <f>VLOOKUP(Table257519913140106110151155170178204265[[#This Row],[PEG]],Table1016[#All],3,FALSE)</f>
        <v>#N/A</v>
      </c>
    </row>
    <row r="23" spans="1:5">
      <c r="A23" s="114">
        <v>16</v>
      </c>
      <c r="B23" s="110" t="s">
        <v>115</v>
      </c>
      <c r="C23" s="105" t="e">
        <f>VLOOKUP(Table257519913140106110151155170178204265[[#This Row],[PEG]],Table1016[#All],2,FALSE)</f>
        <v>#N/A</v>
      </c>
      <c r="D23" s="113"/>
      <c r="E23" s="122" t="e">
        <f>VLOOKUP(Table257519913140106110151155170178204265[[#This Row],[PEG]],Table1016[#All],3,FALSE)</f>
        <v>#N/A</v>
      </c>
    </row>
    <row r="24" spans="1:5">
      <c r="A24" s="114">
        <v>17</v>
      </c>
      <c r="B24" s="110" t="s">
        <v>114</v>
      </c>
      <c r="C24" s="105" t="e">
        <f>VLOOKUP(Table257519913140106110151155170178204265[[#This Row],[PEG]],Table1016[#All],2,FALSE)</f>
        <v>#N/A</v>
      </c>
      <c r="D24" s="113"/>
      <c r="E24" s="122" t="e">
        <f>VLOOKUP(Table257519913140106110151155170178204265[[#This Row],[PEG]],Table1016[#All],3,FALSE)</f>
        <v>#N/A</v>
      </c>
    </row>
    <row r="25" spans="1:5">
      <c r="A25" s="114">
        <v>18</v>
      </c>
      <c r="B25" s="110" t="s">
        <v>12</v>
      </c>
      <c r="C25" s="105" t="e">
        <f>VLOOKUP(Table257519913140106110151155170178204265[[#This Row],[PEG]],Table1016[#All],2,FALSE)</f>
        <v>#N/A</v>
      </c>
      <c r="D25" s="113"/>
      <c r="E25" s="122" t="e">
        <f>VLOOKUP(Table257519913140106110151155170178204265[[#This Row],[PEG]],Table1016[#All],3,FALSE)</f>
        <v>#N/A</v>
      </c>
    </row>
    <row r="26" spans="1:5">
      <c r="A26" s="114">
        <v>19</v>
      </c>
      <c r="B26" s="110" t="s">
        <v>12</v>
      </c>
      <c r="C26" s="105" t="e">
        <f>VLOOKUP(Table257519913140106110151155170178204265[[#This Row],[PEG]],Table1016[#All],2,FALSE)</f>
        <v>#N/A</v>
      </c>
      <c r="D26" s="113"/>
      <c r="E26" s="122" t="e">
        <f>VLOOKUP(Table257519913140106110151155170178204265[[#This Row],[PEG]],Table1016[#All],3,FALSE)</f>
        <v>#N/A</v>
      </c>
    </row>
    <row r="27" spans="1:5">
      <c r="A27" s="114">
        <v>20</v>
      </c>
      <c r="B27" s="110" t="s">
        <v>115</v>
      </c>
      <c r="C27" s="105" t="e">
        <f>VLOOKUP(Table257519913140106110151155170178204265[[#This Row],[PEG]],Table1016[#All],2,FALSE)</f>
        <v>#N/A</v>
      </c>
      <c r="D27" s="113"/>
      <c r="E27" s="122" t="e">
        <f>VLOOKUP(Table257519913140106110151155170178204265[[#This Row],[PEG]],Table1016[#All],3,FALSE)</f>
        <v>#N/A</v>
      </c>
    </row>
    <row r="28" spans="1:5">
      <c r="A28" s="114">
        <v>21</v>
      </c>
      <c r="B28" s="110" t="s">
        <v>114</v>
      </c>
      <c r="C28" s="105" t="e">
        <f>VLOOKUP(Table257519913140106110151155170178204265[[#This Row],[PEG]],Table1016[#All],2,FALSE)</f>
        <v>#N/A</v>
      </c>
      <c r="D28" s="113"/>
      <c r="E28" s="122" t="e">
        <f>VLOOKUP(Table257519913140106110151155170178204265[[#This Row],[PEG]],Table1016[#All],3,FALSE)</f>
        <v>#N/A</v>
      </c>
    </row>
    <row r="29" spans="1:5">
      <c r="A29" s="114">
        <v>22</v>
      </c>
      <c r="B29" s="110" t="s">
        <v>12</v>
      </c>
      <c r="C29" s="105" t="e">
        <f>VLOOKUP(Table257519913140106110151155170178204265[[#This Row],[PEG]],Table1016[#All],2,FALSE)</f>
        <v>#N/A</v>
      </c>
      <c r="D29" s="113"/>
      <c r="E29" s="122" t="e">
        <f>VLOOKUP(Table257519913140106110151155170178204265[[#This Row],[PEG]],Table1016[#All],3,FALSE)</f>
        <v>#N/A</v>
      </c>
    </row>
    <row r="30" spans="1:5">
      <c r="A30" s="114">
        <v>23</v>
      </c>
      <c r="B30" s="110" t="s">
        <v>12</v>
      </c>
      <c r="C30" s="105" t="e">
        <f>VLOOKUP(Table257519913140106110151155170178204265[[#This Row],[PEG]],Table1016[#All],2,FALSE)</f>
        <v>#N/A</v>
      </c>
      <c r="D30" s="113"/>
      <c r="E30" s="122" t="e">
        <f>VLOOKUP(Table257519913140106110151155170178204265[[#This Row],[PEG]],Table1016[#All],3,FALSE)</f>
        <v>#N/A</v>
      </c>
    </row>
    <row r="31" spans="1:5">
      <c r="A31" s="114">
        <v>24</v>
      </c>
      <c r="B31" s="110" t="s">
        <v>115</v>
      </c>
      <c r="C31" s="105" t="e">
        <f>VLOOKUP(Table257519913140106110151155170178204265[[#This Row],[PEG]],Table1016[#All],2,FALSE)</f>
        <v>#N/A</v>
      </c>
      <c r="D31" s="113"/>
      <c r="E31" s="122" t="e">
        <f>VLOOKUP(Table257519913140106110151155170178204265[[#This Row],[PEG]],Table1016[#All],3,FALSE)</f>
        <v>#N/A</v>
      </c>
    </row>
    <row r="32" spans="1:5">
      <c r="A32" s="114">
        <v>25</v>
      </c>
      <c r="B32" s="110" t="s">
        <v>115</v>
      </c>
      <c r="C32" s="105" t="e">
        <f>VLOOKUP(Table257519913140106110151155170178204265[[#This Row],[PEG]],Table1016[#All],2,FALSE)</f>
        <v>#N/A</v>
      </c>
      <c r="D32" s="113"/>
      <c r="E32" s="122" t="e">
        <f>VLOOKUP(Table257519913140106110151155170178204265[[#This Row],[PEG]],Table1016[#All],3,FALSE)</f>
        <v>#N/A</v>
      </c>
    </row>
    <row r="33" spans="1:5">
      <c r="A33" s="114">
        <v>26</v>
      </c>
      <c r="B33" s="110" t="s">
        <v>124</v>
      </c>
      <c r="C33" s="105" t="e">
        <f>VLOOKUP(Table257519913140106110151155170178204265[[#This Row],[PEG]],Table1016[#All],2,FALSE)</f>
        <v>#N/A</v>
      </c>
      <c r="D33" s="113"/>
      <c r="E33" s="122" t="e">
        <f>VLOOKUP(Table257519913140106110151155170178204265[[#This Row],[PEG]],Table1016[#All],3,FALSE)</f>
        <v>#N/A</v>
      </c>
    </row>
    <row r="34" spans="1:5">
      <c r="A34" s="114">
        <v>27</v>
      </c>
      <c r="B34" s="110" t="s">
        <v>115</v>
      </c>
      <c r="C34" s="105" t="e">
        <f>VLOOKUP(Table257519913140106110151155170178204265[[#This Row],[PEG]],Table1016[#All],2,FALSE)</f>
        <v>#N/A</v>
      </c>
      <c r="D34" s="113"/>
      <c r="E34" s="122" t="e">
        <f>VLOOKUP(Table257519913140106110151155170178204265[[#This Row],[PEG]],Table1016[#All],3,FALSE)</f>
        <v>#N/A</v>
      </c>
    </row>
    <row r="35" spans="1:5">
      <c r="A35" s="114">
        <v>28</v>
      </c>
      <c r="B35" s="110" t="s">
        <v>124</v>
      </c>
      <c r="C35" s="105" t="e">
        <f>VLOOKUP(Table257519913140106110151155170178204265[[#This Row],[PEG]],Table1016[#All],2,FALSE)</f>
        <v>#N/A</v>
      </c>
      <c r="D35" s="113"/>
      <c r="E35" s="122" t="e">
        <f>VLOOKUP(Table257519913140106110151155170178204265[[#This Row],[PEG]],Table1016[#All],3,FALSE)</f>
        <v>#N/A</v>
      </c>
    </row>
    <row r="36" spans="1:5">
      <c r="A36" s="114">
        <v>29</v>
      </c>
      <c r="B36" s="110" t="s">
        <v>115</v>
      </c>
      <c r="C36" s="105" t="e">
        <f>VLOOKUP(Table257519913140106110151155170178204265[[#This Row],[PEG]],Table1016[#All],2,FALSE)</f>
        <v>#N/A</v>
      </c>
      <c r="D36" s="113"/>
      <c r="E36" s="122" t="e">
        <f>VLOOKUP(Table257519913140106110151155170178204265[[#This Row],[PEG]],Table1016[#All],3,FALSE)</f>
        <v>#N/A</v>
      </c>
    </row>
    <row r="37" spans="1:5">
      <c r="A37" s="114">
        <v>30</v>
      </c>
      <c r="B37" s="110" t="s">
        <v>12</v>
      </c>
      <c r="C37" s="105" t="e">
        <f>VLOOKUP(Table257519913140106110151155170178204265[[#This Row],[PEG]],Table1016[#All],2,FALSE)</f>
        <v>#N/A</v>
      </c>
      <c r="D37" s="113"/>
      <c r="E37" s="122" t="e">
        <f>VLOOKUP(Table257519913140106110151155170178204265[[#This Row],[PEG]],Table1016[#All],3,FALSE)</f>
        <v>#N/A</v>
      </c>
    </row>
    <row r="38" spans="1:5">
      <c r="A38" s="114">
        <v>31</v>
      </c>
      <c r="B38" s="110" t="s">
        <v>12</v>
      </c>
      <c r="C38" s="105" t="e">
        <f>VLOOKUP(Table257519913140106110151155170178204265[[#This Row],[PEG]],Table1016[#All],2,FALSE)</f>
        <v>#N/A</v>
      </c>
      <c r="D38" s="113"/>
      <c r="E38" s="122" t="e">
        <f>VLOOKUP(Table257519913140106110151155170178204265[[#This Row],[PEG]],Table1016[#All],3,FALSE)</f>
        <v>#N/A</v>
      </c>
    </row>
    <row r="39" spans="1:5">
      <c r="A39" s="114">
        <v>32</v>
      </c>
      <c r="B39" s="110" t="s">
        <v>12</v>
      </c>
      <c r="C39" s="105" t="e">
        <f>VLOOKUP(Table257519913140106110151155170178204265[[#This Row],[PEG]],Table1016[#All],2,FALSE)</f>
        <v>#N/A</v>
      </c>
      <c r="D39" s="113"/>
      <c r="E39" s="122" t="e">
        <f>VLOOKUP(Table257519913140106110151155170178204265[[#This Row],[PEG]],Table1016[#All],3,FALSE)</f>
        <v>#N/A</v>
      </c>
    </row>
    <row r="40" spans="1:5">
      <c r="A40" s="114">
        <v>33</v>
      </c>
      <c r="B40" s="110" t="s">
        <v>12</v>
      </c>
      <c r="C40" s="105" t="e">
        <f>VLOOKUP(Table257519913140106110151155170178204265[[#This Row],[PEG]],Table1016[#All],2,FALSE)</f>
        <v>#N/A</v>
      </c>
      <c r="D40" s="113"/>
      <c r="E40" s="122" t="e">
        <f>VLOOKUP(Table257519913140106110151155170178204265[[#This Row],[PEG]],Table1016[#All],3,FALSE)</f>
        <v>#N/A</v>
      </c>
    </row>
    <row r="41" spans="1:5">
      <c r="A41" s="114">
        <v>34</v>
      </c>
      <c r="B41" s="110" t="s">
        <v>115</v>
      </c>
      <c r="C41" s="105" t="e">
        <f>VLOOKUP(Table257519913140106110151155170178204265[[#This Row],[PEG]],Table1016[#All],2,FALSE)</f>
        <v>#N/A</v>
      </c>
      <c r="D41" s="113"/>
      <c r="E41" s="122" t="e">
        <f>VLOOKUP(Table257519913140106110151155170178204265[[#This Row],[PEG]],Table1016[#All],3,FALSE)</f>
        <v>#N/A</v>
      </c>
    </row>
    <row r="42" spans="1:5">
      <c r="A42" s="114">
        <v>35</v>
      </c>
      <c r="B42" s="110" t="s">
        <v>12</v>
      </c>
      <c r="C42" s="105" t="e">
        <f>VLOOKUP(Table257519913140106110151155170178204265[[#This Row],[PEG]],Table1016[#All],2,FALSE)</f>
        <v>#N/A</v>
      </c>
      <c r="D42" s="111"/>
      <c r="E42" s="122" t="e">
        <f>VLOOKUP(Table257519913140106110151155170178204265[[#This Row],[PEG]],Table1016[#All],3,FALSE)</f>
        <v>#N/A</v>
      </c>
    </row>
    <row r="43" spans="1:5">
      <c r="A43" s="114">
        <v>36</v>
      </c>
      <c r="B43" s="110" t="s">
        <v>115</v>
      </c>
      <c r="C43" s="105" t="e">
        <f>VLOOKUP(Table257519913140106110151155170178204265[[#This Row],[PEG]],Table1016[#All],2,FALSE)</f>
        <v>#N/A</v>
      </c>
      <c r="D43" s="111"/>
      <c r="E43" s="122" t="e">
        <f>VLOOKUP(Table257519913140106110151155170178204265[[#This Row],[PEG]],Table1016[#All],3,FALSE)</f>
        <v>#N/A</v>
      </c>
    </row>
    <row r="44" spans="1:5">
      <c r="A44" s="114">
        <v>37</v>
      </c>
      <c r="B44" s="110" t="s">
        <v>13</v>
      </c>
      <c r="C44" s="17" t="s">
        <v>13</v>
      </c>
      <c r="D44" s="111"/>
      <c r="E44" s="31"/>
    </row>
  </sheetData>
  <mergeCells count="1">
    <mergeCell ref="A1:B1"/>
  </mergeCells>
  <conditionalFormatting sqref="B8:B18">
    <cfRule type="containsText" dxfId="657" priority="1" operator="containsText" text="Hear">
      <formula>NOT(ISERROR(SEARCH("Hear",B8)))</formula>
    </cfRule>
  </conditionalFormatting>
  <conditionalFormatting sqref="B30">
    <cfRule type="containsText" dxfId="656" priority="4" operator="containsText" text="Hear">
      <formula>NOT(ISERROR(SEARCH("Hear",B30)))</formula>
    </cfRule>
  </conditionalFormatting>
  <conditionalFormatting sqref="B43:B44">
    <cfRule type="containsText" dxfId="655" priority="8" operator="containsText" text="Hear">
      <formula>NOT(ISERROR(SEARCH("Hear",B43)))</formula>
    </cfRule>
  </conditionalFormatting>
  <conditionalFormatting sqref="E44">
    <cfRule type="containsText" dxfId="654" priority="6" operator="containsText" text="WEB SERVICE">
      <formula>NOT(ISERROR(SEARCH("WEB SERVICE",E44)))</formula>
    </cfRule>
    <cfRule type="containsText" dxfId="653" priority="7" operator="containsText" text="DB">
      <formula>NOT(ISERROR(SEARCH("DB",E44)))</formula>
    </cfRule>
  </conditionalFormatting>
  <conditionalFormatting sqref="C44">
    <cfRule type="expression" dxfId="652" priority="9">
      <formula>$B44="Dial"</formula>
    </cfRule>
  </conditionalFormatting>
  <conditionalFormatting sqref="C44">
    <cfRule type="expression" dxfId="651" priority="3">
      <formula>$B44="Speak"</formula>
    </cfRule>
  </conditionalFormatting>
  <conditionalFormatting sqref="B19:B29 B31:B35 B42">
    <cfRule type="containsText" dxfId="650" priority="5" operator="containsText" text="Hear">
      <formula>NOT(ISERROR(SEARCH("Hear",B19)))</formula>
    </cfRule>
  </conditionalFormatting>
  <hyperlinks>
    <hyperlink ref="A1" location="'Test Case Overview'!A1" display="Return to Test Case Overview" xr:uid="{00000000-0004-0000-B2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746D45F8-AD2F-4DF3-A768-C560C826190F}">
            <xm:f>'TC1'!$B8="HANGUP"</xm:f>
            <x14:dxf>
              <font>
                <b/>
                <i val="0"/>
              </font>
            </x14:dxf>
          </x14:cfRule>
          <xm:sqref>C8</xm:sqref>
        </x14:conditionalFormatting>
        <x14:conditionalFormatting xmlns:xm="http://schemas.microsoft.com/office/excel/2006/main">
          <x14:cfRule type="expression" priority="3361" id="{746D45F8-AD2F-4DF3-A768-C560C826190F}">
            <xm:f>'TC1'!$B14="HANGUP"</xm:f>
            <x14:dxf>
              <font>
                <b/>
                <i val="0"/>
              </font>
            </x14:dxf>
          </x14:cfRule>
          <xm:sqref>C34:C43</xm:sqref>
        </x14:conditionalFormatting>
        <x14:conditionalFormatting xmlns:xm="http://schemas.microsoft.com/office/excel/2006/main">
          <x14:cfRule type="expression" priority="3362" id="{746D45F8-AD2F-4DF3-A768-C560C826190F}">
            <xm:f>'TC1'!#REF!="HANGUP"</xm:f>
            <x14:dxf>
              <font>
                <b/>
                <i val="0"/>
              </font>
            </x14:dxf>
          </x14:cfRule>
          <xm:sqref>C13:C33</xm:sqref>
        </x14:conditionalFormatting>
        <x14:conditionalFormatting xmlns:xm="http://schemas.microsoft.com/office/excel/2006/main">
          <x14:cfRule type="expression" priority="4607" id="{746D45F8-AD2F-4DF3-A768-C560C826190F}">
            <xm:f>'TC1'!$B10="HANGUP"</xm:f>
            <x14:dxf>
              <font>
                <b/>
                <i val="0"/>
              </font>
            </x14:dxf>
          </x14:cfRule>
          <xm:sqref>C9:C12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E49"/>
  <sheetViews>
    <sheetView zoomScaleNormal="100" workbookViewId="0">
      <selection activeCell="C14" sqref="C14"/>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TC17</v>
      </c>
    </row>
    <row r="3" spans="1:5">
      <c r="A3" s="100" t="s">
        <v>19</v>
      </c>
      <c r="B3" s="108">
        <f ca="1">VLOOKUP(B2,Table1[#All],2,FALSE)</f>
        <v>0</v>
      </c>
    </row>
    <row r="4" spans="1:5" ht="60">
      <c r="A4" s="109" t="s">
        <v>20</v>
      </c>
      <c r="B4" s="95" t="str">
        <f ca="1">VLOOKUP(B2,Table1[#All],4,FALSE)</f>
        <v>svcArea=titleSvcs, serviceType=chgOwnership, Not in progress or complete &lt;90days. Changetype=A add owner/325-S-ND-A.wav</v>
      </c>
      <c r="C4" s="94" t="s">
        <v>212</v>
      </c>
    </row>
    <row r="5" spans="1:5" ht="45">
      <c r="A5" s="100" t="s">
        <v>6</v>
      </c>
      <c r="B5" s="89" t="str">
        <f ca="1">VLOOKUP(B2,Table1[#All],3,FALSE)</f>
        <v>CallStart Main Menu /Title /Ownership changes/ID Auth=True/ Add owner/Hear Rep at peg 0330 Hear again/say rep</v>
      </c>
    </row>
    <row r="7" spans="1:5" ht="15.75">
      <c r="A7" s="96" t="s">
        <v>7</v>
      </c>
      <c r="B7" s="97" t="s">
        <v>8</v>
      </c>
      <c r="C7" s="98" t="s">
        <v>9</v>
      </c>
      <c r="D7" s="98" t="s">
        <v>14</v>
      </c>
      <c r="E7" s="99" t="s">
        <v>10</v>
      </c>
    </row>
    <row r="8" spans="1:5">
      <c r="A8" s="114">
        <v>1</v>
      </c>
      <c r="B8" s="110" t="s">
        <v>114</v>
      </c>
      <c r="C8" s="124" t="s">
        <v>125</v>
      </c>
      <c r="D8" s="125"/>
      <c r="E8" s="122" t="s">
        <v>11</v>
      </c>
    </row>
    <row r="9" spans="1:5">
      <c r="A9" s="114">
        <v>2</v>
      </c>
      <c r="B9" s="110" t="s">
        <v>115</v>
      </c>
      <c r="C9" s="105" t="str">
        <f>VLOOKUP(Table257552526910134344[[#This Row],[PEG]],Table1016[#All],2,FALSE)</f>
        <v>CallID.wav Call ID &lt;CallID&gt;</v>
      </c>
      <c r="D9" s="152" t="s">
        <v>477</v>
      </c>
      <c r="E9" s="122" t="str">
        <f>VLOOKUP(Table257552526910134344[[#This Row],[PEG]],Table1016[#All],3,FALSE)</f>
        <v>TEST</v>
      </c>
    </row>
    <row r="10" spans="1:5" ht="30">
      <c r="A10" s="114">
        <v>3</v>
      </c>
      <c r="B10" s="110" t="s">
        <v>115</v>
      </c>
      <c r="C10" s="105" t="str">
        <f>VLOOKUP(Table257552526910134344[[#This Row],[PEG]],Table1016[#All],2,FALSE)</f>
        <v>0100.wav Thank you for calling Shell vacations Club, we are glad you called. Please have your account number available for faster service. [To continue in Spanish, press 9]</v>
      </c>
      <c r="D10" s="152">
        <v>100</v>
      </c>
      <c r="E10" s="122" t="str">
        <f>VLOOKUP(Table257552526910134344[[#This Row],[PEG]],Table1016[#All],3,FALSE)</f>
        <v>PLAY PROMPT</v>
      </c>
    </row>
    <row r="11" spans="1:5" ht="30">
      <c r="A11" s="114">
        <v>4</v>
      </c>
      <c r="B11" s="110" t="s">
        <v>115</v>
      </c>
      <c r="C11" s="105" t="str">
        <f>VLOOKUP(Table257552526910134344[[#This Row],[PEG]],Table1016[#All],2,FALSE)</f>
        <v>0110-1.wav Which would you like? You can say... reservations, payments &amp; statements, title &amp; ownership changes, or more options.</v>
      </c>
      <c r="D11" s="152">
        <v>110</v>
      </c>
      <c r="E11" s="122" t="str">
        <f>VLOOKUP(Table257552526910134344[[#This Row],[PEG]],Table1016[#All],3,FALSE)</f>
        <v>MENU PROMPT</v>
      </c>
    </row>
    <row r="12" spans="1:5">
      <c r="A12" s="114">
        <v>5</v>
      </c>
      <c r="B12" s="110" t="s">
        <v>124</v>
      </c>
      <c r="C12" s="105" t="s">
        <v>2</v>
      </c>
      <c r="D12" s="152"/>
      <c r="E12" s="122" t="e">
        <f>VLOOKUP(Table257552526910134344[[#This Row],[PEG]],Table1016[#All],3,FALSE)</f>
        <v>#N/A</v>
      </c>
    </row>
    <row r="13" spans="1:5" ht="30">
      <c r="A13" s="114">
        <v>6</v>
      </c>
      <c r="B13" s="110" t="s">
        <v>115</v>
      </c>
      <c r="C13" s="105" t="str">
        <f>VLOOKUP(Table257552526910134344[[#This Row],[PEG]],Table1016[#All],2,FALSE)</f>
        <v>0300-1.wav You can say ownership changes, check status, make a payment, or help me with something else. Which would you like?</v>
      </c>
      <c r="D13" s="152">
        <v>300</v>
      </c>
      <c r="E13" s="122" t="str">
        <f>VLOOKUP(Table257552526910134344[[#This Row],[PEG]],Table1016[#All],3,FALSE)</f>
        <v>MENU PROMPT</v>
      </c>
    </row>
    <row r="14" spans="1:5">
      <c r="A14" s="114">
        <v>7</v>
      </c>
      <c r="B14" s="110" t="s">
        <v>124</v>
      </c>
      <c r="C14" s="105" t="s">
        <v>632</v>
      </c>
      <c r="D14" s="125"/>
      <c r="E14" s="122" t="e">
        <f>VLOOKUP(Table257552526910134344[[#This Row],[PEG]],Table1016[#All],3,FALSE)</f>
        <v>#N/A</v>
      </c>
    </row>
    <row r="15" spans="1:5">
      <c r="A15" s="114">
        <v>8</v>
      </c>
      <c r="B15" s="110" t="s">
        <v>115</v>
      </c>
      <c r="C15" s="105" t="str">
        <f>VLOOKUP(Table257552526910134344[[#This Row],[PEG]],Table1016[#All],2,FALSE)</f>
        <v>0200-1.wav To get started, what is your account number?</v>
      </c>
      <c r="D15" s="153">
        <v>200</v>
      </c>
      <c r="E15" s="122" t="str">
        <f>VLOOKUP(Table257552526910134344[[#This Row],[PEG]],Table1016[#All],3,FALSE)</f>
        <v>MENU PROMPT</v>
      </c>
    </row>
    <row r="16" spans="1:5">
      <c r="A16" s="114">
        <v>9</v>
      </c>
      <c r="B16" s="110" t="s">
        <v>114</v>
      </c>
      <c r="C16" s="105" t="s">
        <v>515</v>
      </c>
      <c r="D16" s="112"/>
      <c r="E16" s="122" t="e">
        <f>VLOOKUP(Table257552526910134344[[#This Row],[PEG]],Table1016[#All],3,FALSE)</f>
        <v>#N/A</v>
      </c>
    </row>
    <row r="17" spans="1:5">
      <c r="A17" s="114">
        <v>10</v>
      </c>
      <c r="B17" s="110" t="s">
        <v>115</v>
      </c>
      <c r="C17" s="127" t="str">
        <f>VLOOKUP(Table257552526910134344[[#This Row],[PEG]],Table1016[#All],2,FALSE)</f>
        <v>0210-1.wav And the date of birth for the primary owner?</v>
      </c>
      <c r="D17" s="154">
        <v>210</v>
      </c>
      <c r="E17" s="122" t="str">
        <f>VLOOKUP(Table257552526910134344[[#This Row],[PEG]],Table1016[#All],3,FALSE)</f>
        <v>MENU PROMPT</v>
      </c>
    </row>
    <row r="18" spans="1:5">
      <c r="A18" s="114">
        <v>11</v>
      </c>
      <c r="B18" s="110" t="s">
        <v>114</v>
      </c>
      <c r="C18" s="105" t="s">
        <v>523</v>
      </c>
      <c r="D18" s="113"/>
      <c r="E18" s="122" t="e">
        <f>VLOOKUP(Table257552526910134344[[#This Row],[PEG]],Table1016[#All],3,FALSE)</f>
        <v>#N/A</v>
      </c>
    </row>
    <row r="19" spans="1:5" ht="45">
      <c r="A19" s="114">
        <v>12</v>
      </c>
      <c r="B19" s="110" t="s">
        <v>115</v>
      </c>
      <c r="C19" s="148" t="str">
        <f>VLOOKUP(Table257552526910134344[[#This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54">
        <v>320</v>
      </c>
      <c r="E19" s="122" t="str">
        <f>VLOOKUP(Table257552526910134344[[#This Row],[PEG]],Table1016[#All],3,FALSE)</f>
        <v>MENU PROMPT</v>
      </c>
    </row>
    <row r="20" spans="1:5">
      <c r="A20" s="114">
        <v>13</v>
      </c>
      <c r="B20" s="110" t="s">
        <v>124</v>
      </c>
      <c r="C20" s="105" t="s">
        <v>518</v>
      </c>
      <c r="D20" s="113"/>
      <c r="E20" s="122" t="e">
        <f>VLOOKUP(Table257552526910134344[[#This Row],[PEG]],Table1016[#All],3,FALSE)</f>
        <v>#N/A</v>
      </c>
    </row>
    <row r="21" spans="1:5" ht="45">
      <c r="A21" s="114">
        <v>14</v>
      </c>
      <c r="B21" s="110" t="s">
        <v>115</v>
      </c>
      <c r="C21" s="105" t="str">
        <f>VLOOKUP(Table257552526910134344[[#This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21" s="113">
        <v>320</v>
      </c>
      <c r="E21" s="122" t="str">
        <f>VLOOKUP(Table257552526910134344[[#This Row],[PEG]],Table1016[#All],3,FALSE)</f>
        <v>MENU PROMPT</v>
      </c>
    </row>
    <row r="22" spans="1:5">
      <c r="A22" s="114">
        <v>15</v>
      </c>
      <c r="B22" s="110" t="s">
        <v>124</v>
      </c>
      <c r="C22" s="105" t="s">
        <v>519</v>
      </c>
      <c r="D22" s="113"/>
      <c r="E22" s="122" t="e">
        <f>VLOOKUP(Table257552526910134344[[#This Row],[PEG]],Table1016[#All],3,FALSE)</f>
        <v>#N/A</v>
      </c>
    </row>
    <row r="23" spans="1:5" ht="75">
      <c r="A23" s="114">
        <v>16</v>
      </c>
      <c r="B23" s="110" t="s">
        <v>115</v>
      </c>
      <c r="C23" s="105" t="str">
        <f>VLOOKUP(Table257552526910134344[[#This Row],[PEG]],Table1016[#All],2,FALSE)</f>
        <v>Wyndham requires a $75 processing fee per account to update ownership. You can   self-service by logging into your online account.  You may also send a   written request with each of the new owner's, first and last name, address,   phone number, email address, date of birth, and copy of government issued ID.   Please send the information to 6277 Sea Harbor Drive, Orlando Florida 32821,   attention, Shell Member Transfers. Once the information and fee is received,   Wyndham will send transfer paperwork to be signed in front of a notary and   returned.</v>
      </c>
      <c r="D23" s="113" t="s">
        <v>212</v>
      </c>
      <c r="E23" s="122" t="str">
        <f>VLOOKUP(Table257552526910134344[[#This Row],[PEG]],Table1016[#All],3,FALSE)</f>
        <v>PLAY PROMPT</v>
      </c>
    </row>
    <row r="24" spans="1:5" ht="30">
      <c r="A24" s="114">
        <v>17</v>
      </c>
      <c r="B24" s="110" t="s">
        <v>115</v>
      </c>
      <c r="C24" s="105" t="str">
        <f>VLOOKUP(Table257552526910134344[[#This Row],[PEG]],Table1016[#All],2,FALSE)</f>
        <v>0330-1.wav To hear this information again, say repeat that. If you would like me to send you a letter with instructions to start the process, say information letter.</v>
      </c>
      <c r="D24" s="113">
        <v>330</v>
      </c>
      <c r="E24" s="122" t="str">
        <f>VLOOKUP(Table257552526910134344[[#This Row],[PEG]],Table1016[#All],3,FALSE)</f>
        <v>MENU PROMPT</v>
      </c>
    </row>
    <row r="25" spans="1:5">
      <c r="A25" s="114">
        <v>18</v>
      </c>
      <c r="B25" s="110" t="s">
        <v>124</v>
      </c>
      <c r="C25" s="105" t="s">
        <v>520</v>
      </c>
      <c r="D25" s="113"/>
      <c r="E25" s="122" t="e">
        <f>VLOOKUP(Table257552526910134344[[#This Row],[PEG]],Table1016[#All],3,FALSE)</f>
        <v>#N/A</v>
      </c>
    </row>
    <row r="26" spans="1:5" ht="75">
      <c r="A26" s="114">
        <v>19</v>
      </c>
      <c r="B26" s="110" t="s">
        <v>115</v>
      </c>
      <c r="C26" s="105" t="str">
        <f>VLOOKUP(Table257552526910134344[[#This Row],[PEG]],Table1016[#All],2,FALSE)</f>
        <v>Wyndham requires a $75 processing fee per account to update ownership. You can   self-service by logging into your online account.  You may also send a   written request with each of the new owner's, first and last name, address,   phone number, email address, date of birth, and copy of government issued ID.   Please send the information to 6277 Sea Harbor Drive, Orlando Florida 32821,   attention, Shell Member Transfers. Once the information and fee is received,   Wyndham will send transfer paperwork to be signed in front of a notary and   returned.</v>
      </c>
      <c r="D26" s="113" t="s">
        <v>212</v>
      </c>
      <c r="E26" s="122" t="str">
        <f>VLOOKUP(Table257552526910134344[[#This Row],[PEG]],Table1016[#All],3,FALSE)</f>
        <v>PLAY PROMPT</v>
      </c>
    </row>
    <row r="27" spans="1:5" ht="30">
      <c r="A27" s="114">
        <v>20</v>
      </c>
      <c r="B27" s="110" t="s">
        <v>115</v>
      </c>
      <c r="C27" s="105" t="str">
        <f>VLOOKUP(Table257552526910134344[[#This Row],[PEG]],Table1016[#All],2,FALSE)</f>
        <v>0330-1.wav To hear this information again, say repeat that. If you would like me to send you a letter with instructions to start the process, say information letter.</v>
      </c>
      <c r="D27" s="113">
        <v>330</v>
      </c>
      <c r="E27" s="122" t="str">
        <f>VLOOKUP(Table257552526910134344[[#This Row],[PEG]],Table1016[#All],3,FALSE)</f>
        <v>MENU PROMPT</v>
      </c>
    </row>
    <row r="28" spans="1:5">
      <c r="A28" s="114">
        <v>21</v>
      </c>
      <c r="B28" s="110" t="s">
        <v>124</v>
      </c>
      <c r="C28" s="151" t="s">
        <v>521</v>
      </c>
      <c r="D28" s="113"/>
      <c r="E28" s="122" t="e">
        <f>VLOOKUP(Table257552526910134344[[#This Row],[PEG]],Table1016[#All],3,FALSE)</f>
        <v>#N/A</v>
      </c>
    </row>
    <row r="29" spans="1:5">
      <c r="A29" s="114">
        <v>22</v>
      </c>
      <c r="B29" s="110" t="s">
        <v>115</v>
      </c>
      <c r="C29" s="148" t="str">
        <f>VLOOKUP(Table257552526910134344[[#This Row],[PEG]],Table1016[#All],2,FALSE)</f>
        <v>0900.wav Please hold, while I connect you to a customer service representative.</v>
      </c>
      <c r="D29" s="154">
        <v>900</v>
      </c>
      <c r="E29" s="122" t="str">
        <f>VLOOKUP(Table257552526910134344[[#This Row],[PEG]],Table1016[#All],3,FALSE)</f>
        <v>PLAY PROMPT</v>
      </c>
    </row>
    <row r="30" spans="1:5">
      <c r="A30" s="114">
        <v>23</v>
      </c>
      <c r="B30" s="110" t="s">
        <v>12</v>
      </c>
      <c r="C30" s="105" t="str">
        <f>VLOOKUP(Table257552526910134344[[#This Row],[PEG]],Table1016[#All],2,FALSE)</f>
        <v>XferNbr.wav Transfer Number &lt;TransferNbr&gt;</v>
      </c>
      <c r="D30" s="113" t="s">
        <v>480</v>
      </c>
      <c r="E30" s="122" t="str">
        <f>VLOOKUP(Table257552526910134344[[#This Row],[PEG]],Table1016[#All],3,FALSE)</f>
        <v>TEST</v>
      </c>
    </row>
    <row r="31" spans="1:5">
      <c r="A31" s="114">
        <v>24</v>
      </c>
      <c r="B31" s="110" t="s">
        <v>13</v>
      </c>
      <c r="C31" s="105" t="s">
        <v>13</v>
      </c>
      <c r="D31" s="111"/>
      <c r="E31" s="31"/>
    </row>
    <row r="32" spans="1:5">
      <c r="C32" s="25"/>
      <c r="D32" s="107" t="s">
        <v>0</v>
      </c>
    </row>
    <row r="33" spans="3:3">
      <c r="C33" s="25"/>
    </row>
    <row r="34" spans="3:3">
      <c r="C34" s="25"/>
    </row>
    <row r="35" spans="3:3">
      <c r="C35" s="25"/>
    </row>
    <row r="36" spans="3:3">
      <c r="C36" s="25"/>
    </row>
    <row r="37" spans="3:3">
      <c r="C37" s="25"/>
    </row>
    <row r="38" spans="3:3">
      <c r="C38" s="25"/>
    </row>
    <row r="39" spans="3:3">
      <c r="C39" s="25"/>
    </row>
    <row r="40" spans="3:3">
      <c r="C40" s="25"/>
    </row>
    <row r="41" spans="3:3">
      <c r="C41" s="25"/>
    </row>
    <row r="42" spans="3:3">
      <c r="C42" s="25"/>
    </row>
    <row r="43" spans="3:3">
      <c r="C43" s="25"/>
    </row>
    <row r="44" spans="3:3">
      <c r="C44" s="25"/>
    </row>
    <row r="45" spans="3:3">
      <c r="C45" s="25"/>
    </row>
    <row r="46" spans="3:3">
      <c r="C46" s="25"/>
    </row>
    <row r="47" spans="3:3">
      <c r="C47" s="26"/>
    </row>
    <row r="48" spans="3:3">
      <c r="C48" s="26"/>
    </row>
    <row r="49" spans="3:3">
      <c r="C49" s="26"/>
    </row>
  </sheetData>
  <mergeCells count="1">
    <mergeCell ref="A1:B1"/>
  </mergeCells>
  <conditionalFormatting sqref="E31">
    <cfRule type="containsText" dxfId="6219" priority="26" operator="containsText" text="WEB SERVICE">
      <formula>NOT(ISERROR(SEARCH("WEB SERVICE",E31)))</formula>
    </cfRule>
    <cfRule type="containsText" dxfId="6218" priority="27" operator="containsText" text="DB">
      <formula>NOT(ISERROR(SEARCH("DB",E31)))</formula>
    </cfRule>
  </conditionalFormatting>
  <conditionalFormatting sqref="C30:C9988">
    <cfRule type="expression" dxfId="6217" priority="29">
      <formula>$B30="Dial"</formula>
    </cfRule>
    <cfRule type="expression" dxfId="6216" priority="31">
      <formula>$B30="HANGUP"</formula>
    </cfRule>
  </conditionalFormatting>
  <conditionalFormatting sqref="C8 C29 C19">
    <cfRule type="expression" dxfId="6215" priority="3">
      <formula>$B8="Dial"</formula>
    </cfRule>
    <cfRule type="expression" dxfId="6214" priority="4">
      <formula>$B8="HANGUP"</formula>
    </cfRule>
  </conditionalFormatting>
  <conditionalFormatting sqref="B8 B20:B31">
    <cfRule type="containsText" dxfId="6213" priority="7" operator="containsText" text="Hear">
      <formula>NOT(ISERROR(SEARCH("Hear",B8)))</formula>
    </cfRule>
  </conditionalFormatting>
  <conditionalFormatting sqref="C18 C9:C16 C20:C27">
    <cfRule type="expression" dxfId="6212" priority="8">
      <formula>$B9="Dial"</formula>
    </cfRule>
    <cfRule type="expression" dxfId="6211" priority="10">
      <formula>$B9="HANGUP"</formula>
    </cfRule>
  </conditionalFormatting>
  <conditionalFormatting sqref="C18 C9:C16 C20:C27 C30:C31">
    <cfRule type="expression" dxfId="6210" priority="9">
      <formula>$B9="Speak"</formula>
    </cfRule>
  </conditionalFormatting>
  <conditionalFormatting sqref="C17 C28">
    <cfRule type="expression" dxfId="6209" priority="5">
      <formula>$B17="Dial"</formula>
    </cfRule>
    <cfRule type="expression" dxfId="6208" priority="6">
      <formula>$B17="HANGUP"</formula>
    </cfRule>
  </conditionalFormatting>
  <conditionalFormatting sqref="B18:B19">
    <cfRule type="containsText" dxfId="6207" priority="2" operator="containsText" text="Hear">
      <formula>NOT(ISERROR(SEARCH("Hear",B18)))</formula>
    </cfRule>
  </conditionalFormatting>
  <conditionalFormatting sqref="B9:B17">
    <cfRule type="containsText" dxfId="6206" priority="1" operator="containsText" text="Hear">
      <formula>NOT(ISERROR(SEARCH("Hear",B9)))</formula>
    </cfRule>
  </conditionalFormatting>
  <hyperlinks>
    <hyperlink ref="A1" location="'Test Case Overview'!A1" display="Return to Test Case Overview" xr:uid="{00000000-0004-0000-11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19" operator="containsText" text="WEB SERVICE" id="{4217374C-4524-46D9-9E61-78FEC2A043B3}">
            <xm:f>NOT(ISERROR(SEARCH("WEB SERVICE",'TC1'!E10)))</xm:f>
            <x14:dxf>
              <font>
                <color rgb="FF9C0006"/>
              </font>
              <fill>
                <patternFill>
                  <bgColor rgb="FFFFC7CE"/>
                </patternFill>
              </fill>
            </x14:dxf>
          </x14:cfRule>
          <x14:cfRule type="containsText" priority="20" operator="containsText" text="DB" id="{6FBBB9E4-9AD9-4515-8F71-973CDBD96ABB}">
            <xm:f>NOT(ISERROR(SEARCH("DB",'TC1'!E10)))</xm:f>
            <x14:dxf>
              <font>
                <color rgb="FF006100"/>
              </font>
              <fill>
                <patternFill>
                  <bgColor rgb="FFC6EFCE"/>
                </patternFill>
              </fill>
            </x14:dxf>
          </x14:cfRule>
          <xm:sqref>E9:E12</xm:sqref>
        </x14:conditionalFormatting>
        <x14:conditionalFormatting xmlns:xm="http://schemas.microsoft.com/office/excel/2006/main">
          <x14:cfRule type="containsText" priority="769" operator="containsText" text="WEB SERVICE" id="{4217374C-4524-46D9-9E61-78FEC2A043B3}">
            <xm:f>NOT(ISERROR(SEARCH("WEB SERVICE",'TC1'!#REF!)))</xm:f>
            <x14:dxf>
              <font>
                <color rgb="FF9C0006"/>
              </font>
              <fill>
                <patternFill>
                  <bgColor rgb="FFFFC7CE"/>
                </patternFill>
              </fill>
            </x14:dxf>
          </x14:cfRule>
          <x14:cfRule type="containsText" priority="770" operator="containsText" text="DB" id="{6FBBB9E4-9AD9-4515-8F71-973CDBD96ABB}">
            <xm:f>NOT(ISERROR(SEARCH("DB",'TC1'!#REF!)))</xm:f>
            <x14:dxf>
              <font>
                <color rgb="FF006100"/>
              </font>
              <fill>
                <patternFill>
                  <bgColor rgb="FFC6EFCE"/>
                </patternFill>
              </fill>
            </x14:dxf>
          </x14:cfRule>
          <xm:sqref>E13:E30</xm:sqref>
        </x14:conditionalFormatting>
      </x14:conditionalFormattings>
    </ext>
  </extLst>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300-000000000000}">
  <sheetPr codeName="Sheet181"/>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TC179</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VLOOKUP(Table257519913140106110151155170178204267[[#This Row],[PEG]],Table1016[#All],2,FALSE)</f>
        <v>#N/A</v>
      </c>
      <c r="D9" s="125"/>
      <c r="E9" s="122" t="e">
        <f>VLOOKUP(Table257519913140106110151155170178204267[[#This Row],[PEG]],Table1016[#All],3,FALSE)</f>
        <v>#N/A</v>
      </c>
    </row>
    <row r="10" spans="1:5">
      <c r="A10" s="114">
        <v>3</v>
      </c>
      <c r="B10" s="110" t="s">
        <v>115</v>
      </c>
      <c r="C10" s="105" t="e">
        <f>VLOOKUP(Table257519913140106110151155170178204267[[#This Row],[PEG]],Table1016[#All],2,FALSE)</f>
        <v>#N/A</v>
      </c>
      <c r="D10" s="125"/>
      <c r="E10" s="122" t="e">
        <f>VLOOKUP(Table257519913140106110151155170178204267[[#This Row],[PEG]],Table1016[#All],3,FALSE)</f>
        <v>#N/A</v>
      </c>
    </row>
    <row r="11" spans="1:5">
      <c r="A11" s="114">
        <v>4</v>
      </c>
      <c r="B11" s="110" t="s">
        <v>115</v>
      </c>
      <c r="C11" s="105" t="e">
        <f>VLOOKUP(Table257519913140106110151155170178204267[[#This Row],[PEG]],Table1016[#All],2,FALSE)</f>
        <v>#N/A</v>
      </c>
      <c r="D11" s="125"/>
      <c r="E11" s="122" t="e">
        <f>VLOOKUP(Table257519913140106110151155170178204267[[#This Row],[PEG]],Table1016[#All],3,FALSE)</f>
        <v>#N/A</v>
      </c>
    </row>
    <row r="12" spans="1:5">
      <c r="A12" s="114">
        <v>5</v>
      </c>
      <c r="B12" s="110" t="s">
        <v>114</v>
      </c>
      <c r="C12" s="105" t="e">
        <f>VLOOKUP(Table257519913140106110151155170178204267[[#This Row],[PEG]],Table1016[#All],2,FALSE)</f>
        <v>#N/A</v>
      </c>
      <c r="D12" s="125"/>
      <c r="E12" s="122" t="e">
        <f>VLOOKUP(Table257519913140106110151155170178204267[[#This Row],[PEG]],Table1016[#All],3,FALSE)</f>
        <v>#N/A</v>
      </c>
    </row>
    <row r="13" spans="1:5">
      <c r="A13" s="114">
        <v>6</v>
      </c>
      <c r="B13" s="110" t="s">
        <v>115</v>
      </c>
      <c r="C13" s="105" t="e">
        <f>VLOOKUP(Table257519913140106110151155170178204267[[#This Row],[PEG]],Table1016[#All],2,FALSE)</f>
        <v>#N/A</v>
      </c>
      <c r="D13" s="125"/>
      <c r="E13" s="122" t="e">
        <f>VLOOKUP(Table257519913140106110151155170178204267[[#This Row],[PEG]],Table1016[#All],3,FALSE)</f>
        <v>#N/A</v>
      </c>
    </row>
    <row r="14" spans="1:5">
      <c r="A14" s="114">
        <v>7</v>
      </c>
      <c r="B14" s="110" t="s">
        <v>114</v>
      </c>
      <c r="C14" s="105" t="e">
        <f>VLOOKUP(Table257519913140106110151155170178204267[[#This Row],[PEG]],Table1016[#All],2,FALSE)</f>
        <v>#N/A</v>
      </c>
      <c r="D14" s="125"/>
      <c r="E14" s="122" t="e">
        <f>VLOOKUP(Table257519913140106110151155170178204267[[#This Row],[PEG]],Table1016[#All],3,FALSE)</f>
        <v>#N/A</v>
      </c>
    </row>
    <row r="15" spans="1:5">
      <c r="A15" s="114">
        <v>8</v>
      </c>
      <c r="B15" s="110" t="s">
        <v>115</v>
      </c>
      <c r="C15" s="105" t="e">
        <f>VLOOKUP(Table257519913140106110151155170178204267[[#This Row],[PEG]],Table1016[#All],2,FALSE)</f>
        <v>#N/A</v>
      </c>
      <c r="D15" s="112"/>
      <c r="E15" s="122" t="e">
        <f>VLOOKUP(Table257519913140106110151155170178204267[[#This Row],[PEG]],Table1016[#All],3,FALSE)</f>
        <v>#N/A</v>
      </c>
    </row>
    <row r="16" spans="1:5">
      <c r="A16" s="114">
        <v>9</v>
      </c>
      <c r="B16" s="110" t="s">
        <v>12</v>
      </c>
      <c r="C16" s="105" t="e">
        <f>VLOOKUP(Table257519913140106110151155170178204267[[#This Row],[PEG]],Table1016[#All],2,FALSE)</f>
        <v>#N/A</v>
      </c>
      <c r="D16" s="112"/>
      <c r="E16" s="122" t="e">
        <f>VLOOKUP(Table257519913140106110151155170178204267[[#This Row],[PEG]],Table1016[#All],3,FALSE)</f>
        <v>#N/A</v>
      </c>
    </row>
    <row r="17" spans="1:5">
      <c r="A17" s="114">
        <v>10</v>
      </c>
      <c r="B17" s="110" t="s">
        <v>12</v>
      </c>
      <c r="C17" s="105" t="e">
        <f>VLOOKUP(Table257519913140106110151155170178204267[[#This Row],[PEG]],Table1016[#All],2,FALSE)</f>
        <v>#N/A</v>
      </c>
      <c r="D17" s="113"/>
      <c r="E17" s="122" t="e">
        <f>VLOOKUP(Table257519913140106110151155170178204267[[#This Row],[PEG]],Table1016[#All],3,FALSE)</f>
        <v>#N/A</v>
      </c>
    </row>
    <row r="18" spans="1:5">
      <c r="A18" s="114">
        <v>11</v>
      </c>
      <c r="B18" s="110" t="s">
        <v>115</v>
      </c>
      <c r="C18" s="105" t="e">
        <f>VLOOKUP(Table257519913140106110151155170178204267[[#This Row],[PEG]],Table1016[#All],2,FALSE)</f>
        <v>#N/A</v>
      </c>
      <c r="D18" s="113"/>
      <c r="E18" s="122" t="e">
        <f>VLOOKUP(Table257519913140106110151155170178204267[[#This Row],[PEG]],Table1016[#All],3,FALSE)</f>
        <v>#N/A</v>
      </c>
    </row>
    <row r="19" spans="1:5">
      <c r="A19" s="114">
        <v>12</v>
      </c>
      <c r="B19" s="110" t="s">
        <v>115</v>
      </c>
      <c r="C19" s="105" t="e">
        <f>VLOOKUP(Table257519913140106110151155170178204267[[#This Row],[PEG]],Table1016[#All],2,FALSE)</f>
        <v>#N/A</v>
      </c>
      <c r="D19" s="113"/>
      <c r="E19" s="122" t="e">
        <f>VLOOKUP(Table257519913140106110151155170178204267[[#This Row],[PEG]],Table1016[#All],3,FALSE)</f>
        <v>#N/A</v>
      </c>
    </row>
    <row r="20" spans="1:5">
      <c r="A20" s="114">
        <v>13</v>
      </c>
      <c r="B20" s="110" t="s">
        <v>114</v>
      </c>
      <c r="C20" s="105" t="e">
        <f>VLOOKUP(Table257519913140106110151155170178204267[[#This Row],[PEG]],Table1016[#All],2,FALSE)</f>
        <v>#N/A</v>
      </c>
      <c r="D20" s="113"/>
      <c r="E20" s="122" t="e">
        <f>VLOOKUP(Table257519913140106110151155170178204267[[#This Row],[PEG]],Table1016[#All],3,FALSE)</f>
        <v>#N/A</v>
      </c>
    </row>
    <row r="21" spans="1:5">
      <c r="A21" s="114">
        <v>14</v>
      </c>
      <c r="B21" s="110" t="s">
        <v>12</v>
      </c>
      <c r="C21" s="105" t="e">
        <f>VLOOKUP(Table257519913140106110151155170178204267[[#This Row],[PEG]],Table1016[#All],2,FALSE)</f>
        <v>#N/A</v>
      </c>
      <c r="D21" s="113"/>
      <c r="E21" s="122" t="e">
        <f>VLOOKUP(Table257519913140106110151155170178204267[[#This Row],[PEG]],Table1016[#All],3,FALSE)</f>
        <v>#N/A</v>
      </c>
    </row>
    <row r="22" spans="1:5">
      <c r="A22" s="114">
        <v>15</v>
      </c>
      <c r="B22" s="110" t="s">
        <v>12</v>
      </c>
      <c r="C22" s="105" t="e">
        <f>VLOOKUP(Table257519913140106110151155170178204267[[#This Row],[PEG]],Table1016[#All],2,FALSE)</f>
        <v>#N/A</v>
      </c>
      <c r="D22" s="113"/>
      <c r="E22" s="122" t="e">
        <f>VLOOKUP(Table257519913140106110151155170178204267[[#This Row],[PEG]],Table1016[#All],3,FALSE)</f>
        <v>#N/A</v>
      </c>
    </row>
    <row r="23" spans="1:5">
      <c r="A23" s="114">
        <v>16</v>
      </c>
      <c r="B23" s="110" t="s">
        <v>115</v>
      </c>
      <c r="C23" s="105" t="e">
        <f>VLOOKUP(Table257519913140106110151155170178204267[[#This Row],[PEG]],Table1016[#All],2,FALSE)</f>
        <v>#N/A</v>
      </c>
      <c r="D23" s="113"/>
      <c r="E23" s="122" t="e">
        <f>VLOOKUP(Table257519913140106110151155170178204267[[#This Row],[PEG]],Table1016[#All],3,FALSE)</f>
        <v>#N/A</v>
      </c>
    </row>
    <row r="24" spans="1:5">
      <c r="A24" s="114">
        <v>17</v>
      </c>
      <c r="B24" s="110" t="s">
        <v>114</v>
      </c>
      <c r="C24" s="105" t="e">
        <f>VLOOKUP(Table257519913140106110151155170178204267[[#This Row],[PEG]],Table1016[#All],2,FALSE)</f>
        <v>#N/A</v>
      </c>
      <c r="D24" s="113"/>
      <c r="E24" s="122" t="e">
        <f>VLOOKUP(Table257519913140106110151155170178204267[[#This Row],[PEG]],Table1016[#All],3,FALSE)</f>
        <v>#N/A</v>
      </c>
    </row>
    <row r="25" spans="1:5">
      <c r="A25" s="114">
        <v>18</v>
      </c>
      <c r="B25" s="110" t="s">
        <v>12</v>
      </c>
      <c r="C25" s="105" t="e">
        <f>VLOOKUP(Table257519913140106110151155170178204267[[#This Row],[PEG]],Table1016[#All],2,FALSE)</f>
        <v>#N/A</v>
      </c>
      <c r="D25" s="113"/>
      <c r="E25" s="122" t="e">
        <f>VLOOKUP(Table257519913140106110151155170178204267[[#This Row],[PEG]],Table1016[#All],3,FALSE)</f>
        <v>#N/A</v>
      </c>
    </row>
    <row r="26" spans="1:5">
      <c r="A26" s="114">
        <v>19</v>
      </c>
      <c r="B26" s="110" t="s">
        <v>12</v>
      </c>
      <c r="C26" s="105" t="e">
        <f>VLOOKUP(Table257519913140106110151155170178204267[[#This Row],[PEG]],Table1016[#All],2,FALSE)</f>
        <v>#N/A</v>
      </c>
      <c r="D26" s="113"/>
      <c r="E26" s="122" t="e">
        <f>VLOOKUP(Table257519913140106110151155170178204267[[#This Row],[PEG]],Table1016[#All],3,FALSE)</f>
        <v>#N/A</v>
      </c>
    </row>
    <row r="27" spans="1:5">
      <c r="A27" s="114">
        <v>20</v>
      </c>
      <c r="B27" s="110" t="s">
        <v>115</v>
      </c>
      <c r="C27" s="105" t="e">
        <f>VLOOKUP(Table257519913140106110151155170178204267[[#This Row],[PEG]],Table1016[#All],2,FALSE)</f>
        <v>#N/A</v>
      </c>
      <c r="D27" s="113"/>
      <c r="E27" s="122" t="e">
        <f>VLOOKUP(Table257519913140106110151155170178204267[[#This Row],[PEG]],Table1016[#All],3,FALSE)</f>
        <v>#N/A</v>
      </c>
    </row>
    <row r="28" spans="1:5">
      <c r="A28" s="114">
        <v>21</v>
      </c>
      <c r="B28" s="110" t="s">
        <v>114</v>
      </c>
      <c r="C28" s="105" t="e">
        <f>VLOOKUP(Table257519913140106110151155170178204267[[#This Row],[PEG]],Table1016[#All],2,FALSE)</f>
        <v>#N/A</v>
      </c>
      <c r="D28" s="113"/>
      <c r="E28" s="122" t="e">
        <f>VLOOKUP(Table257519913140106110151155170178204267[[#This Row],[PEG]],Table1016[#All],3,FALSE)</f>
        <v>#N/A</v>
      </c>
    </row>
    <row r="29" spans="1:5">
      <c r="A29" s="114">
        <v>22</v>
      </c>
      <c r="B29" s="110" t="s">
        <v>12</v>
      </c>
      <c r="C29" s="105" t="e">
        <f>VLOOKUP(Table257519913140106110151155170178204267[[#This Row],[PEG]],Table1016[#All],2,FALSE)</f>
        <v>#N/A</v>
      </c>
      <c r="D29" s="113"/>
      <c r="E29" s="122" t="e">
        <f>VLOOKUP(Table257519913140106110151155170178204267[[#This Row],[PEG]],Table1016[#All],3,FALSE)</f>
        <v>#N/A</v>
      </c>
    </row>
    <row r="30" spans="1:5">
      <c r="A30" s="114">
        <v>23</v>
      </c>
      <c r="B30" s="110" t="s">
        <v>12</v>
      </c>
      <c r="C30" s="105" t="e">
        <f>VLOOKUP(Table257519913140106110151155170178204267[[#This Row],[PEG]],Table1016[#All],2,FALSE)</f>
        <v>#N/A</v>
      </c>
      <c r="D30" s="113"/>
      <c r="E30" s="122" t="e">
        <f>VLOOKUP(Table257519913140106110151155170178204267[[#This Row],[PEG]],Table1016[#All],3,FALSE)</f>
        <v>#N/A</v>
      </c>
    </row>
    <row r="31" spans="1:5">
      <c r="A31" s="114">
        <v>24</v>
      </c>
      <c r="B31" s="110" t="s">
        <v>115</v>
      </c>
      <c r="C31" s="105" t="e">
        <f>VLOOKUP(Table257519913140106110151155170178204267[[#This Row],[PEG]],Table1016[#All],2,FALSE)</f>
        <v>#N/A</v>
      </c>
      <c r="D31" s="113"/>
      <c r="E31" s="122" t="e">
        <f>VLOOKUP(Table257519913140106110151155170178204267[[#This Row],[PEG]],Table1016[#All],3,FALSE)</f>
        <v>#N/A</v>
      </c>
    </row>
    <row r="32" spans="1:5">
      <c r="A32" s="114">
        <v>25</v>
      </c>
      <c r="B32" s="110" t="s">
        <v>115</v>
      </c>
      <c r="C32" s="105" t="e">
        <f>VLOOKUP(Table257519913140106110151155170178204267[[#This Row],[PEG]],Table1016[#All],2,FALSE)</f>
        <v>#N/A</v>
      </c>
      <c r="D32" s="113"/>
      <c r="E32" s="122" t="e">
        <f>VLOOKUP(Table257519913140106110151155170178204267[[#This Row],[PEG]],Table1016[#All],3,FALSE)</f>
        <v>#N/A</v>
      </c>
    </row>
    <row r="33" spans="1:5">
      <c r="A33" s="114">
        <v>26</v>
      </c>
      <c r="B33" s="110" t="s">
        <v>124</v>
      </c>
      <c r="C33" s="105" t="e">
        <f>VLOOKUP(Table257519913140106110151155170178204267[[#This Row],[PEG]],Table1016[#All],2,FALSE)</f>
        <v>#N/A</v>
      </c>
      <c r="D33" s="113"/>
      <c r="E33" s="122" t="e">
        <f>VLOOKUP(Table257519913140106110151155170178204267[[#This Row],[PEG]],Table1016[#All],3,FALSE)</f>
        <v>#N/A</v>
      </c>
    </row>
    <row r="34" spans="1:5">
      <c r="A34" s="114">
        <v>27</v>
      </c>
      <c r="B34" s="110" t="s">
        <v>115</v>
      </c>
      <c r="C34" s="105" t="e">
        <f>VLOOKUP(Table257519913140106110151155170178204267[[#This Row],[PEG]],Table1016[#All],2,FALSE)</f>
        <v>#N/A</v>
      </c>
      <c r="D34" s="113"/>
      <c r="E34" s="122" t="e">
        <f>VLOOKUP(Table257519913140106110151155170178204267[[#This Row],[PEG]],Table1016[#All],3,FALSE)</f>
        <v>#N/A</v>
      </c>
    </row>
    <row r="35" spans="1:5">
      <c r="A35" s="114">
        <v>28</v>
      </c>
      <c r="B35" s="110" t="s">
        <v>124</v>
      </c>
      <c r="C35" s="105" t="e">
        <f>VLOOKUP(Table257519913140106110151155170178204267[[#This Row],[PEG]],Table1016[#All],2,FALSE)</f>
        <v>#N/A</v>
      </c>
      <c r="D35" s="113"/>
      <c r="E35" s="122" t="e">
        <f>VLOOKUP(Table257519913140106110151155170178204267[[#This Row],[PEG]],Table1016[#All],3,FALSE)</f>
        <v>#N/A</v>
      </c>
    </row>
    <row r="36" spans="1:5">
      <c r="A36" s="114">
        <v>29</v>
      </c>
      <c r="B36" s="110" t="s">
        <v>115</v>
      </c>
      <c r="C36" s="105" t="e">
        <f>VLOOKUP(Table257519913140106110151155170178204267[[#This Row],[PEG]],Table1016[#All],2,FALSE)</f>
        <v>#N/A</v>
      </c>
      <c r="D36" s="113"/>
      <c r="E36" s="122" t="e">
        <f>VLOOKUP(Table257519913140106110151155170178204267[[#This Row],[PEG]],Table1016[#All],3,FALSE)</f>
        <v>#N/A</v>
      </c>
    </row>
    <row r="37" spans="1:5">
      <c r="A37" s="114">
        <v>30</v>
      </c>
      <c r="B37" s="110" t="s">
        <v>12</v>
      </c>
      <c r="C37" s="105" t="e">
        <f>VLOOKUP(Table257519913140106110151155170178204267[[#This Row],[PEG]],Table1016[#All],2,FALSE)</f>
        <v>#N/A</v>
      </c>
      <c r="D37" s="113"/>
      <c r="E37" s="122" t="e">
        <f>VLOOKUP(Table257519913140106110151155170178204267[[#This Row],[PEG]],Table1016[#All],3,FALSE)</f>
        <v>#N/A</v>
      </c>
    </row>
    <row r="38" spans="1:5">
      <c r="A38" s="114">
        <v>31</v>
      </c>
      <c r="B38" s="110" t="s">
        <v>12</v>
      </c>
      <c r="C38" s="105" t="e">
        <f>VLOOKUP(Table257519913140106110151155170178204267[[#This Row],[PEG]],Table1016[#All],2,FALSE)</f>
        <v>#N/A</v>
      </c>
      <c r="D38" s="113"/>
      <c r="E38" s="122" t="e">
        <f>VLOOKUP(Table257519913140106110151155170178204267[[#This Row],[PEG]],Table1016[#All],3,FALSE)</f>
        <v>#N/A</v>
      </c>
    </row>
    <row r="39" spans="1:5">
      <c r="A39" s="114">
        <v>32</v>
      </c>
      <c r="B39" s="110" t="s">
        <v>12</v>
      </c>
      <c r="C39" s="105" t="e">
        <f>VLOOKUP(Table257519913140106110151155170178204267[[#This Row],[PEG]],Table1016[#All],2,FALSE)</f>
        <v>#N/A</v>
      </c>
      <c r="D39" s="113"/>
      <c r="E39" s="122" t="e">
        <f>VLOOKUP(Table257519913140106110151155170178204267[[#This Row],[PEG]],Table1016[#All],3,FALSE)</f>
        <v>#N/A</v>
      </c>
    </row>
    <row r="40" spans="1:5">
      <c r="A40" s="114">
        <v>33</v>
      </c>
      <c r="B40" s="110" t="s">
        <v>12</v>
      </c>
      <c r="C40" s="105" t="e">
        <f>VLOOKUP(Table257519913140106110151155170178204267[[#This Row],[PEG]],Table1016[#All],2,FALSE)</f>
        <v>#N/A</v>
      </c>
      <c r="D40" s="113"/>
      <c r="E40" s="122" t="e">
        <f>VLOOKUP(Table257519913140106110151155170178204267[[#This Row],[PEG]],Table1016[#All],3,FALSE)</f>
        <v>#N/A</v>
      </c>
    </row>
    <row r="41" spans="1:5">
      <c r="A41" s="114">
        <v>34</v>
      </c>
      <c r="B41" s="110" t="s">
        <v>115</v>
      </c>
      <c r="C41" s="105" t="e">
        <f>VLOOKUP(Table257519913140106110151155170178204267[[#This Row],[PEG]],Table1016[#All],2,FALSE)</f>
        <v>#N/A</v>
      </c>
      <c r="D41" s="113"/>
      <c r="E41" s="122" t="e">
        <f>VLOOKUP(Table257519913140106110151155170178204267[[#This Row],[PEG]],Table1016[#All],3,FALSE)</f>
        <v>#N/A</v>
      </c>
    </row>
    <row r="42" spans="1:5">
      <c r="A42" s="114">
        <v>35</v>
      </c>
      <c r="B42" s="110" t="s">
        <v>12</v>
      </c>
      <c r="C42" s="105" t="e">
        <f>VLOOKUP(Table257519913140106110151155170178204267[[#This Row],[PEG]],Table1016[#All],2,FALSE)</f>
        <v>#N/A</v>
      </c>
      <c r="D42" s="111"/>
      <c r="E42" s="122" t="e">
        <f>VLOOKUP(Table257519913140106110151155170178204267[[#This Row],[PEG]],Table1016[#All],3,FALSE)</f>
        <v>#N/A</v>
      </c>
    </row>
    <row r="43" spans="1:5">
      <c r="A43" s="114">
        <v>36</v>
      </c>
      <c r="B43" s="110" t="s">
        <v>115</v>
      </c>
      <c r="C43" s="105" t="e">
        <f>VLOOKUP(Table257519913140106110151155170178204267[[#This Row],[PEG]],Table1016[#All],2,FALSE)</f>
        <v>#N/A</v>
      </c>
      <c r="D43" s="111"/>
      <c r="E43" s="122" t="e">
        <f>VLOOKUP(Table257519913140106110151155170178204267[[#This Row],[PEG]],Table1016[#All],3,FALSE)</f>
        <v>#N/A</v>
      </c>
    </row>
    <row r="44" spans="1:5">
      <c r="A44" s="114">
        <v>37</v>
      </c>
      <c r="B44" s="110" t="s">
        <v>13</v>
      </c>
      <c r="C44" s="17" t="s">
        <v>13</v>
      </c>
      <c r="D44" s="111"/>
      <c r="E44" s="31"/>
    </row>
  </sheetData>
  <mergeCells count="1">
    <mergeCell ref="A1:B1"/>
  </mergeCells>
  <conditionalFormatting sqref="B8:B18">
    <cfRule type="containsText" dxfId="636" priority="1" operator="containsText" text="Hear">
      <formula>NOT(ISERROR(SEARCH("Hear",B8)))</formula>
    </cfRule>
  </conditionalFormatting>
  <conditionalFormatting sqref="B30">
    <cfRule type="containsText" dxfId="635" priority="4" operator="containsText" text="Hear">
      <formula>NOT(ISERROR(SEARCH("Hear",B30)))</formula>
    </cfRule>
  </conditionalFormatting>
  <conditionalFormatting sqref="B43:B44">
    <cfRule type="containsText" dxfId="634" priority="8" operator="containsText" text="Hear">
      <formula>NOT(ISERROR(SEARCH("Hear",B43)))</formula>
    </cfRule>
  </conditionalFormatting>
  <conditionalFormatting sqref="E44">
    <cfRule type="containsText" dxfId="633" priority="6" operator="containsText" text="WEB SERVICE">
      <formula>NOT(ISERROR(SEARCH("WEB SERVICE",E44)))</formula>
    </cfRule>
    <cfRule type="containsText" dxfId="632" priority="7" operator="containsText" text="DB">
      <formula>NOT(ISERROR(SEARCH("DB",E44)))</formula>
    </cfRule>
  </conditionalFormatting>
  <conditionalFormatting sqref="C44">
    <cfRule type="expression" dxfId="631" priority="9">
      <formula>$B44="Dial"</formula>
    </cfRule>
  </conditionalFormatting>
  <conditionalFormatting sqref="C44">
    <cfRule type="expression" dxfId="630" priority="3">
      <formula>$B44="Speak"</formula>
    </cfRule>
  </conditionalFormatting>
  <conditionalFormatting sqref="B19:B29 B31:B35 B42">
    <cfRule type="containsText" dxfId="629" priority="5" operator="containsText" text="Hear">
      <formula>NOT(ISERROR(SEARCH("Hear",B19)))</formula>
    </cfRule>
  </conditionalFormatting>
  <hyperlinks>
    <hyperlink ref="A1" location="'Test Case Overview'!A1" display="Return to Test Case Overview" xr:uid="{00000000-0004-0000-B3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E7A26FA1-B04B-44B1-B814-995283E759C3}">
            <xm:f>'TC1'!$B8="HANGUP"</xm:f>
            <x14:dxf>
              <font>
                <b/>
                <i val="0"/>
              </font>
            </x14:dxf>
          </x14:cfRule>
          <xm:sqref>C8</xm:sqref>
        </x14:conditionalFormatting>
        <x14:conditionalFormatting xmlns:xm="http://schemas.microsoft.com/office/excel/2006/main">
          <x14:cfRule type="expression" priority="3365" id="{E7A26FA1-B04B-44B1-B814-995283E759C3}">
            <xm:f>'TC1'!$B14="HANGUP"</xm:f>
            <x14:dxf>
              <font>
                <b/>
                <i val="0"/>
              </font>
            </x14:dxf>
          </x14:cfRule>
          <xm:sqref>C34:C43</xm:sqref>
        </x14:conditionalFormatting>
        <x14:conditionalFormatting xmlns:xm="http://schemas.microsoft.com/office/excel/2006/main">
          <x14:cfRule type="expression" priority="3366" id="{E7A26FA1-B04B-44B1-B814-995283E759C3}">
            <xm:f>'TC1'!#REF!="HANGUP"</xm:f>
            <x14:dxf>
              <font>
                <b/>
                <i val="0"/>
              </font>
            </x14:dxf>
          </x14:cfRule>
          <xm:sqref>C13:C33</xm:sqref>
        </x14:conditionalFormatting>
        <x14:conditionalFormatting xmlns:xm="http://schemas.microsoft.com/office/excel/2006/main">
          <x14:cfRule type="expression" priority="4609" id="{E7A26FA1-B04B-44B1-B814-995283E759C3}">
            <xm:f>'TC1'!$B10="HANGUP"</xm:f>
            <x14:dxf>
              <font>
                <b/>
                <i val="0"/>
              </font>
            </x14:dxf>
          </x14:cfRule>
          <xm:sqref>C9:C12</xm:sqref>
        </x14:conditionalFormatting>
      </x14:conditionalFormattings>
    </ext>
  </extLst>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400-000000000000}">
  <sheetPr codeName="Sheet182"/>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TC180</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VLOOKUP(Table257519913140106110151155170178204269[[#This Row],[PEG]],Table1016[#All],2,FALSE)</f>
        <v>#N/A</v>
      </c>
      <c r="D9" s="125"/>
      <c r="E9" s="122" t="e">
        <f>VLOOKUP(Table257519913140106110151155170178204269[[#This Row],[PEG]],Table1016[#All],3,FALSE)</f>
        <v>#N/A</v>
      </c>
    </row>
    <row r="10" spans="1:5">
      <c r="A10" s="114">
        <v>3</v>
      </c>
      <c r="B10" s="110" t="s">
        <v>115</v>
      </c>
      <c r="C10" s="105" t="e">
        <f>VLOOKUP(Table257519913140106110151155170178204269[[#This Row],[PEG]],Table1016[#All],2,FALSE)</f>
        <v>#N/A</v>
      </c>
      <c r="D10" s="125"/>
      <c r="E10" s="122" t="e">
        <f>VLOOKUP(Table257519913140106110151155170178204269[[#This Row],[PEG]],Table1016[#All],3,FALSE)</f>
        <v>#N/A</v>
      </c>
    </row>
    <row r="11" spans="1:5">
      <c r="A11" s="114">
        <v>4</v>
      </c>
      <c r="B11" s="110" t="s">
        <v>115</v>
      </c>
      <c r="C11" s="105" t="e">
        <f>VLOOKUP(Table257519913140106110151155170178204269[[#This Row],[PEG]],Table1016[#All],2,FALSE)</f>
        <v>#N/A</v>
      </c>
      <c r="D11" s="125"/>
      <c r="E11" s="122" t="e">
        <f>VLOOKUP(Table257519913140106110151155170178204269[[#This Row],[PEG]],Table1016[#All],3,FALSE)</f>
        <v>#N/A</v>
      </c>
    </row>
    <row r="12" spans="1:5">
      <c r="A12" s="114">
        <v>5</v>
      </c>
      <c r="B12" s="110" t="s">
        <v>114</v>
      </c>
      <c r="C12" s="105" t="e">
        <f>VLOOKUP(Table257519913140106110151155170178204269[[#This Row],[PEG]],Table1016[#All],2,FALSE)</f>
        <v>#N/A</v>
      </c>
      <c r="D12" s="125"/>
      <c r="E12" s="122" t="e">
        <f>VLOOKUP(Table257519913140106110151155170178204269[[#This Row],[PEG]],Table1016[#All],3,FALSE)</f>
        <v>#N/A</v>
      </c>
    </row>
    <row r="13" spans="1:5">
      <c r="A13" s="114">
        <v>6</v>
      </c>
      <c r="B13" s="110" t="s">
        <v>115</v>
      </c>
      <c r="C13" s="105" t="e">
        <f>VLOOKUP(Table257519913140106110151155170178204269[[#This Row],[PEG]],Table1016[#All],2,FALSE)</f>
        <v>#N/A</v>
      </c>
      <c r="D13" s="125"/>
      <c r="E13" s="122" t="e">
        <f>VLOOKUP(Table257519913140106110151155170178204269[[#This Row],[PEG]],Table1016[#All],3,FALSE)</f>
        <v>#N/A</v>
      </c>
    </row>
    <row r="14" spans="1:5">
      <c r="A14" s="114">
        <v>7</v>
      </c>
      <c r="B14" s="110" t="s">
        <v>114</v>
      </c>
      <c r="C14" s="105" t="e">
        <f>VLOOKUP(Table257519913140106110151155170178204269[[#This Row],[PEG]],Table1016[#All],2,FALSE)</f>
        <v>#N/A</v>
      </c>
      <c r="D14" s="125"/>
      <c r="E14" s="122" t="e">
        <f>VLOOKUP(Table257519913140106110151155170178204269[[#This Row],[PEG]],Table1016[#All],3,FALSE)</f>
        <v>#N/A</v>
      </c>
    </row>
    <row r="15" spans="1:5">
      <c r="A15" s="114">
        <v>8</v>
      </c>
      <c r="B15" s="110" t="s">
        <v>115</v>
      </c>
      <c r="C15" s="105" t="e">
        <f>VLOOKUP(Table257519913140106110151155170178204269[[#This Row],[PEG]],Table1016[#All],2,FALSE)</f>
        <v>#N/A</v>
      </c>
      <c r="D15" s="112"/>
      <c r="E15" s="122" t="e">
        <f>VLOOKUP(Table257519913140106110151155170178204269[[#This Row],[PEG]],Table1016[#All],3,FALSE)</f>
        <v>#N/A</v>
      </c>
    </row>
    <row r="16" spans="1:5">
      <c r="A16" s="114">
        <v>9</v>
      </c>
      <c r="B16" s="110" t="s">
        <v>12</v>
      </c>
      <c r="C16" s="105" t="e">
        <f>VLOOKUP(Table257519913140106110151155170178204269[[#This Row],[PEG]],Table1016[#All],2,FALSE)</f>
        <v>#N/A</v>
      </c>
      <c r="D16" s="112"/>
      <c r="E16" s="122" t="e">
        <f>VLOOKUP(Table257519913140106110151155170178204269[[#This Row],[PEG]],Table1016[#All],3,FALSE)</f>
        <v>#N/A</v>
      </c>
    </row>
    <row r="17" spans="1:5">
      <c r="A17" s="114">
        <v>10</v>
      </c>
      <c r="B17" s="110" t="s">
        <v>12</v>
      </c>
      <c r="C17" s="105" t="e">
        <f>VLOOKUP(Table257519913140106110151155170178204269[[#This Row],[PEG]],Table1016[#All],2,FALSE)</f>
        <v>#N/A</v>
      </c>
      <c r="D17" s="113"/>
      <c r="E17" s="122" t="e">
        <f>VLOOKUP(Table257519913140106110151155170178204269[[#This Row],[PEG]],Table1016[#All],3,FALSE)</f>
        <v>#N/A</v>
      </c>
    </row>
    <row r="18" spans="1:5">
      <c r="A18" s="114">
        <v>11</v>
      </c>
      <c r="B18" s="110" t="s">
        <v>115</v>
      </c>
      <c r="C18" s="105" t="e">
        <f>VLOOKUP(Table257519913140106110151155170178204269[[#This Row],[PEG]],Table1016[#All],2,FALSE)</f>
        <v>#N/A</v>
      </c>
      <c r="D18" s="113"/>
      <c r="E18" s="122" t="e">
        <f>VLOOKUP(Table257519913140106110151155170178204269[[#This Row],[PEG]],Table1016[#All],3,FALSE)</f>
        <v>#N/A</v>
      </c>
    </row>
    <row r="19" spans="1:5">
      <c r="A19" s="114">
        <v>12</v>
      </c>
      <c r="B19" s="110" t="s">
        <v>115</v>
      </c>
      <c r="C19" s="105" t="e">
        <f>VLOOKUP(Table257519913140106110151155170178204269[[#This Row],[PEG]],Table1016[#All],2,FALSE)</f>
        <v>#N/A</v>
      </c>
      <c r="D19" s="113"/>
      <c r="E19" s="122" t="e">
        <f>VLOOKUP(Table257519913140106110151155170178204269[[#This Row],[PEG]],Table1016[#All],3,FALSE)</f>
        <v>#N/A</v>
      </c>
    </row>
    <row r="20" spans="1:5">
      <c r="A20" s="114">
        <v>13</v>
      </c>
      <c r="B20" s="110" t="s">
        <v>114</v>
      </c>
      <c r="C20" s="105" t="e">
        <f>VLOOKUP(Table257519913140106110151155170178204269[[#This Row],[PEG]],Table1016[#All],2,FALSE)</f>
        <v>#N/A</v>
      </c>
      <c r="D20" s="113"/>
      <c r="E20" s="122" t="e">
        <f>VLOOKUP(Table257519913140106110151155170178204269[[#This Row],[PEG]],Table1016[#All],3,FALSE)</f>
        <v>#N/A</v>
      </c>
    </row>
    <row r="21" spans="1:5">
      <c r="A21" s="114">
        <v>14</v>
      </c>
      <c r="B21" s="110" t="s">
        <v>12</v>
      </c>
      <c r="C21" s="105" t="e">
        <f>VLOOKUP(Table257519913140106110151155170178204269[[#This Row],[PEG]],Table1016[#All],2,FALSE)</f>
        <v>#N/A</v>
      </c>
      <c r="D21" s="113"/>
      <c r="E21" s="122" t="e">
        <f>VLOOKUP(Table257519913140106110151155170178204269[[#This Row],[PEG]],Table1016[#All],3,FALSE)</f>
        <v>#N/A</v>
      </c>
    </row>
    <row r="22" spans="1:5">
      <c r="A22" s="114">
        <v>15</v>
      </c>
      <c r="B22" s="110" t="s">
        <v>12</v>
      </c>
      <c r="C22" s="105" t="e">
        <f>VLOOKUP(Table257519913140106110151155170178204269[[#This Row],[PEG]],Table1016[#All],2,FALSE)</f>
        <v>#N/A</v>
      </c>
      <c r="D22" s="113"/>
      <c r="E22" s="122" t="e">
        <f>VLOOKUP(Table257519913140106110151155170178204269[[#This Row],[PEG]],Table1016[#All],3,FALSE)</f>
        <v>#N/A</v>
      </c>
    </row>
    <row r="23" spans="1:5">
      <c r="A23" s="114">
        <v>16</v>
      </c>
      <c r="B23" s="110" t="s">
        <v>115</v>
      </c>
      <c r="C23" s="105" t="e">
        <f>VLOOKUP(Table257519913140106110151155170178204269[[#This Row],[PEG]],Table1016[#All],2,FALSE)</f>
        <v>#N/A</v>
      </c>
      <c r="D23" s="113"/>
      <c r="E23" s="122" t="e">
        <f>VLOOKUP(Table257519913140106110151155170178204269[[#This Row],[PEG]],Table1016[#All],3,FALSE)</f>
        <v>#N/A</v>
      </c>
    </row>
    <row r="24" spans="1:5">
      <c r="A24" s="114">
        <v>17</v>
      </c>
      <c r="B24" s="110" t="s">
        <v>114</v>
      </c>
      <c r="C24" s="105" t="e">
        <f>VLOOKUP(Table257519913140106110151155170178204269[[#This Row],[PEG]],Table1016[#All],2,FALSE)</f>
        <v>#N/A</v>
      </c>
      <c r="D24" s="113"/>
      <c r="E24" s="122" t="e">
        <f>VLOOKUP(Table257519913140106110151155170178204269[[#This Row],[PEG]],Table1016[#All],3,FALSE)</f>
        <v>#N/A</v>
      </c>
    </row>
    <row r="25" spans="1:5">
      <c r="A25" s="114">
        <v>18</v>
      </c>
      <c r="B25" s="110" t="s">
        <v>12</v>
      </c>
      <c r="C25" s="105" t="e">
        <f>VLOOKUP(Table257519913140106110151155170178204269[[#This Row],[PEG]],Table1016[#All],2,FALSE)</f>
        <v>#N/A</v>
      </c>
      <c r="D25" s="113"/>
      <c r="E25" s="122" t="e">
        <f>VLOOKUP(Table257519913140106110151155170178204269[[#This Row],[PEG]],Table1016[#All],3,FALSE)</f>
        <v>#N/A</v>
      </c>
    </row>
    <row r="26" spans="1:5">
      <c r="A26" s="114">
        <v>19</v>
      </c>
      <c r="B26" s="110" t="s">
        <v>12</v>
      </c>
      <c r="C26" s="105" t="e">
        <f>VLOOKUP(Table257519913140106110151155170178204269[[#This Row],[PEG]],Table1016[#All],2,FALSE)</f>
        <v>#N/A</v>
      </c>
      <c r="D26" s="113"/>
      <c r="E26" s="122" t="e">
        <f>VLOOKUP(Table257519913140106110151155170178204269[[#This Row],[PEG]],Table1016[#All],3,FALSE)</f>
        <v>#N/A</v>
      </c>
    </row>
    <row r="27" spans="1:5">
      <c r="A27" s="114">
        <v>20</v>
      </c>
      <c r="B27" s="110" t="s">
        <v>115</v>
      </c>
      <c r="C27" s="105" t="e">
        <f>VLOOKUP(Table257519913140106110151155170178204269[[#This Row],[PEG]],Table1016[#All],2,FALSE)</f>
        <v>#N/A</v>
      </c>
      <c r="D27" s="113"/>
      <c r="E27" s="122" t="e">
        <f>VLOOKUP(Table257519913140106110151155170178204269[[#This Row],[PEG]],Table1016[#All],3,FALSE)</f>
        <v>#N/A</v>
      </c>
    </row>
    <row r="28" spans="1:5">
      <c r="A28" s="114">
        <v>21</v>
      </c>
      <c r="B28" s="110" t="s">
        <v>114</v>
      </c>
      <c r="C28" s="105" t="e">
        <f>VLOOKUP(Table257519913140106110151155170178204269[[#This Row],[PEG]],Table1016[#All],2,FALSE)</f>
        <v>#N/A</v>
      </c>
      <c r="D28" s="113"/>
      <c r="E28" s="122" t="e">
        <f>VLOOKUP(Table257519913140106110151155170178204269[[#This Row],[PEG]],Table1016[#All],3,FALSE)</f>
        <v>#N/A</v>
      </c>
    </row>
    <row r="29" spans="1:5">
      <c r="A29" s="114">
        <v>22</v>
      </c>
      <c r="B29" s="110" t="s">
        <v>12</v>
      </c>
      <c r="C29" s="105" t="e">
        <f>VLOOKUP(Table257519913140106110151155170178204269[[#This Row],[PEG]],Table1016[#All],2,FALSE)</f>
        <v>#N/A</v>
      </c>
      <c r="D29" s="113"/>
      <c r="E29" s="122" t="e">
        <f>VLOOKUP(Table257519913140106110151155170178204269[[#This Row],[PEG]],Table1016[#All],3,FALSE)</f>
        <v>#N/A</v>
      </c>
    </row>
    <row r="30" spans="1:5">
      <c r="A30" s="114">
        <v>23</v>
      </c>
      <c r="B30" s="110" t="s">
        <v>12</v>
      </c>
      <c r="C30" s="105" t="e">
        <f>VLOOKUP(Table257519913140106110151155170178204269[[#This Row],[PEG]],Table1016[#All],2,FALSE)</f>
        <v>#N/A</v>
      </c>
      <c r="D30" s="113"/>
      <c r="E30" s="122" t="e">
        <f>VLOOKUP(Table257519913140106110151155170178204269[[#This Row],[PEG]],Table1016[#All],3,FALSE)</f>
        <v>#N/A</v>
      </c>
    </row>
    <row r="31" spans="1:5">
      <c r="A31" s="114">
        <v>24</v>
      </c>
      <c r="B31" s="110" t="s">
        <v>115</v>
      </c>
      <c r="C31" s="105" t="e">
        <f>VLOOKUP(Table257519913140106110151155170178204269[[#This Row],[PEG]],Table1016[#All],2,FALSE)</f>
        <v>#N/A</v>
      </c>
      <c r="D31" s="113"/>
      <c r="E31" s="122" t="e">
        <f>VLOOKUP(Table257519913140106110151155170178204269[[#This Row],[PEG]],Table1016[#All],3,FALSE)</f>
        <v>#N/A</v>
      </c>
    </row>
    <row r="32" spans="1:5">
      <c r="A32" s="114">
        <v>25</v>
      </c>
      <c r="B32" s="110" t="s">
        <v>115</v>
      </c>
      <c r="C32" s="105" t="e">
        <f>VLOOKUP(Table257519913140106110151155170178204269[[#This Row],[PEG]],Table1016[#All],2,FALSE)</f>
        <v>#N/A</v>
      </c>
      <c r="D32" s="113"/>
      <c r="E32" s="122" t="e">
        <f>VLOOKUP(Table257519913140106110151155170178204269[[#This Row],[PEG]],Table1016[#All],3,FALSE)</f>
        <v>#N/A</v>
      </c>
    </row>
    <row r="33" spans="1:5">
      <c r="A33" s="114">
        <v>26</v>
      </c>
      <c r="B33" s="110" t="s">
        <v>124</v>
      </c>
      <c r="C33" s="105" t="e">
        <f>VLOOKUP(Table257519913140106110151155170178204269[[#This Row],[PEG]],Table1016[#All],2,FALSE)</f>
        <v>#N/A</v>
      </c>
      <c r="D33" s="113"/>
      <c r="E33" s="122" t="e">
        <f>VLOOKUP(Table257519913140106110151155170178204269[[#This Row],[PEG]],Table1016[#All],3,FALSE)</f>
        <v>#N/A</v>
      </c>
    </row>
    <row r="34" spans="1:5">
      <c r="A34" s="114">
        <v>27</v>
      </c>
      <c r="B34" s="110" t="s">
        <v>115</v>
      </c>
      <c r="C34" s="105" t="e">
        <f>VLOOKUP(Table257519913140106110151155170178204269[[#This Row],[PEG]],Table1016[#All],2,FALSE)</f>
        <v>#N/A</v>
      </c>
      <c r="D34" s="113"/>
      <c r="E34" s="122" t="e">
        <f>VLOOKUP(Table257519913140106110151155170178204269[[#This Row],[PEG]],Table1016[#All],3,FALSE)</f>
        <v>#N/A</v>
      </c>
    </row>
    <row r="35" spans="1:5">
      <c r="A35" s="114">
        <v>28</v>
      </c>
      <c r="B35" s="110" t="s">
        <v>124</v>
      </c>
      <c r="C35" s="105" t="e">
        <f>VLOOKUP(Table257519913140106110151155170178204269[[#This Row],[PEG]],Table1016[#All],2,FALSE)</f>
        <v>#N/A</v>
      </c>
      <c r="D35" s="113"/>
      <c r="E35" s="122" t="e">
        <f>VLOOKUP(Table257519913140106110151155170178204269[[#This Row],[PEG]],Table1016[#All],3,FALSE)</f>
        <v>#N/A</v>
      </c>
    </row>
    <row r="36" spans="1:5">
      <c r="A36" s="114">
        <v>29</v>
      </c>
      <c r="B36" s="110" t="s">
        <v>115</v>
      </c>
      <c r="C36" s="105" t="e">
        <f>VLOOKUP(Table257519913140106110151155170178204269[[#This Row],[PEG]],Table1016[#All],2,FALSE)</f>
        <v>#N/A</v>
      </c>
      <c r="D36" s="113"/>
      <c r="E36" s="122" t="e">
        <f>VLOOKUP(Table257519913140106110151155170178204269[[#This Row],[PEG]],Table1016[#All],3,FALSE)</f>
        <v>#N/A</v>
      </c>
    </row>
    <row r="37" spans="1:5">
      <c r="A37" s="114">
        <v>30</v>
      </c>
      <c r="B37" s="110" t="s">
        <v>12</v>
      </c>
      <c r="C37" s="105" t="e">
        <f>VLOOKUP(Table257519913140106110151155170178204269[[#This Row],[PEG]],Table1016[#All],2,FALSE)</f>
        <v>#N/A</v>
      </c>
      <c r="D37" s="113"/>
      <c r="E37" s="122" t="e">
        <f>VLOOKUP(Table257519913140106110151155170178204269[[#This Row],[PEG]],Table1016[#All],3,FALSE)</f>
        <v>#N/A</v>
      </c>
    </row>
    <row r="38" spans="1:5">
      <c r="A38" s="114">
        <v>31</v>
      </c>
      <c r="B38" s="110" t="s">
        <v>12</v>
      </c>
      <c r="C38" s="105" t="e">
        <f>VLOOKUP(Table257519913140106110151155170178204269[[#This Row],[PEG]],Table1016[#All],2,FALSE)</f>
        <v>#N/A</v>
      </c>
      <c r="D38" s="113"/>
      <c r="E38" s="122" t="e">
        <f>VLOOKUP(Table257519913140106110151155170178204269[[#This Row],[PEG]],Table1016[#All],3,FALSE)</f>
        <v>#N/A</v>
      </c>
    </row>
    <row r="39" spans="1:5">
      <c r="A39" s="114">
        <v>32</v>
      </c>
      <c r="B39" s="110" t="s">
        <v>12</v>
      </c>
      <c r="C39" s="105" t="e">
        <f>VLOOKUP(Table257519913140106110151155170178204269[[#This Row],[PEG]],Table1016[#All],2,FALSE)</f>
        <v>#N/A</v>
      </c>
      <c r="D39" s="113"/>
      <c r="E39" s="122" t="e">
        <f>VLOOKUP(Table257519913140106110151155170178204269[[#This Row],[PEG]],Table1016[#All],3,FALSE)</f>
        <v>#N/A</v>
      </c>
    </row>
    <row r="40" spans="1:5">
      <c r="A40" s="114">
        <v>33</v>
      </c>
      <c r="B40" s="110" t="s">
        <v>12</v>
      </c>
      <c r="C40" s="105" t="e">
        <f>VLOOKUP(Table257519913140106110151155170178204269[[#This Row],[PEG]],Table1016[#All],2,FALSE)</f>
        <v>#N/A</v>
      </c>
      <c r="D40" s="113"/>
      <c r="E40" s="122" t="e">
        <f>VLOOKUP(Table257519913140106110151155170178204269[[#This Row],[PEG]],Table1016[#All],3,FALSE)</f>
        <v>#N/A</v>
      </c>
    </row>
    <row r="41" spans="1:5">
      <c r="A41" s="114">
        <v>34</v>
      </c>
      <c r="B41" s="110" t="s">
        <v>115</v>
      </c>
      <c r="C41" s="105" t="e">
        <f>VLOOKUP(Table257519913140106110151155170178204269[[#This Row],[PEG]],Table1016[#All],2,FALSE)</f>
        <v>#N/A</v>
      </c>
      <c r="D41" s="113"/>
      <c r="E41" s="122" t="e">
        <f>VLOOKUP(Table257519913140106110151155170178204269[[#This Row],[PEG]],Table1016[#All],3,FALSE)</f>
        <v>#N/A</v>
      </c>
    </row>
    <row r="42" spans="1:5">
      <c r="A42" s="114">
        <v>35</v>
      </c>
      <c r="B42" s="110" t="s">
        <v>12</v>
      </c>
      <c r="C42" s="105" t="e">
        <f>VLOOKUP(Table257519913140106110151155170178204269[[#This Row],[PEG]],Table1016[#All],2,FALSE)</f>
        <v>#N/A</v>
      </c>
      <c r="D42" s="111"/>
      <c r="E42" s="122" t="e">
        <f>VLOOKUP(Table257519913140106110151155170178204269[[#This Row],[PEG]],Table1016[#All],3,FALSE)</f>
        <v>#N/A</v>
      </c>
    </row>
    <row r="43" spans="1:5">
      <c r="A43" s="114">
        <v>36</v>
      </c>
      <c r="B43" s="110" t="s">
        <v>115</v>
      </c>
      <c r="C43" s="105" t="e">
        <f>VLOOKUP(Table257519913140106110151155170178204269[[#This Row],[PEG]],Table1016[#All],2,FALSE)</f>
        <v>#N/A</v>
      </c>
      <c r="D43" s="111"/>
      <c r="E43" s="122" t="e">
        <f>VLOOKUP(Table257519913140106110151155170178204269[[#This Row],[PEG]],Table1016[#All],3,FALSE)</f>
        <v>#N/A</v>
      </c>
    </row>
    <row r="44" spans="1:5">
      <c r="A44" s="114">
        <v>37</v>
      </c>
      <c r="B44" s="110" t="s">
        <v>13</v>
      </c>
      <c r="C44" s="17" t="s">
        <v>13</v>
      </c>
      <c r="D44" s="111"/>
      <c r="E44" s="31"/>
    </row>
  </sheetData>
  <mergeCells count="1">
    <mergeCell ref="A1:B1"/>
  </mergeCells>
  <conditionalFormatting sqref="B8:B18">
    <cfRule type="containsText" dxfId="615" priority="1" operator="containsText" text="Hear">
      <formula>NOT(ISERROR(SEARCH("Hear",B8)))</formula>
    </cfRule>
  </conditionalFormatting>
  <conditionalFormatting sqref="B30">
    <cfRule type="containsText" dxfId="614" priority="4" operator="containsText" text="Hear">
      <formula>NOT(ISERROR(SEARCH("Hear",B30)))</formula>
    </cfRule>
  </conditionalFormatting>
  <conditionalFormatting sqref="B43:B44">
    <cfRule type="containsText" dxfId="613" priority="8" operator="containsText" text="Hear">
      <formula>NOT(ISERROR(SEARCH("Hear",B43)))</formula>
    </cfRule>
  </conditionalFormatting>
  <conditionalFormatting sqref="E44">
    <cfRule type="containsText" dxfId="612" priority="6" operator="containsText" text="WEB SERVICE">
      <formula>NOT(ISERROR(SEARCH("WEB SERVICE",E44)))</formula>
    </cfRule>
    <cfRule type="containsText" dxfId="611" priority="7" operator="containsText" text="DB">
      <formula>NOT(ISERROR(SEARCH("DB",E44)))</formula>
    </cfRule>
  </conditionalFormatting>
  <conditionalFormatting sqref="C44">
    <cfRule type="expression" dxfId="610" priority="9">
      <formula>$B44="Dial"</formula>
    </cfRule>
  </conditionalFormatting>
  <conditionalFormatting sqref="C44">
    <cfRule type="expression" dxfId="609" priority="3">
      <formula>$B44="Speak"</formula>
    </cfRule>
  </conditionalFormatting>
  <conditionalFormatting sqref="B19:B29 B31:B35 B42">
    <cfRule type="containsText" dxfId="608" priority="5" operator="containsText" text="Hear">
      <formula>NOT(ISERROR(SEARCH("Hear",B19)))</formula>
    </cfRule>
  </conditionalFormatting>
  <hyperlinks>
    <hyperlink ref="A1" location="'Test Case Overview'!A1" display="Return to Test Case Overview" xr:uid="{00000000-0004-0000-B4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B19C3560-CCDF-4B4A-8DBD-0194D2C1165A}">
            <xm:f>'TC1'!$B8="HANGUP"</xm:f>
            <x14:dxf>
              <font>
                <b/>
                <i val="0"/>
              </font>
            </x14:dxf>
          </x14:cfRule>
          <xm:sqref>C8</xm:sqref>
        </x14:conditionalFormatting>
        <x14:conditionalFormatting xmlns:xm="http://schemas.microsoft.com/office/excel/2006/main">
          <x14:cfRule type="expression" priority="3369" id="{B19C3560-CCDF-4B4A-8DBD-0194D2C1165A}">
            <xm:f>'TC1'!$B14="HANGUP"</xm:f>
            <x14:dxf>
              <font>
                <b/>
                <i val="0"/>
              </font>
            </x14:dxf>
          </x14:cfRule>
          <xm:sqref>C34:C43</xm:sqref>
        </x14:conditionalFormatting>
        <x14:conditionalFormatting xmlns:xm="http://schemas.microsoft.com/office/excel/2006/main">
          <x14:cfRule type="expression" priority="3370" id="{B19C3560-CCDF-4B4A-8DBD-0194D2C1165A}">
            <xm:f>'TC1'!#REF!="HANGUP"</xm:f>
            <x14:dxf>
              <font>
                <b/>
                <i val="0"/>
              </font>
            </x14:dxf>
          </x14:cfRule>
          <xm:sqref>C13:C33</xm:sqref>
        </x14:conditionalFormatting>
        <x14:conditionalFormatting xmlns:xm="http://schemas.microsoft.com/office/excel/2006/main">
          <x14:cfRule type="expression" priority="4611" id="{B19C3560-CCDF-4B4A-8DBD-0194D2C1165A}">
            <xm:f>'TC1'!$B10="HANGUP"</xm:f>
            <x14:dxf>
              <font>
                <b/>
                <i val="0"/>
              </font>
            </x14:dxf>
          </x14:cfRule>
          <xm:sqref>C9:C12</xm:sqref>
        </x14:conditionalFormatting>
      </x14:conditionalFormattings>
    </ext>
  </extLst>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500-000000000000}">
  <sheetPr codeName="Sheet183"/>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TC181</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VLOOKUP(Table257519913140106110151155170178204271[[#This Row],[PEG]],Table1016[#All],2,FALSE)</f>
        <v>#N/A</v>
      </c>
      <c r="D9" s="125"/>
      <c r="E9" s="122" t="e">
        <f>VLOOKUP(Table257519913140106110151155170178204271[[#This Row],[PEG]],Table1016[#All],3,FALSE)</f>
        <v>#N/A</v>
      </c>
    </row>
    <row r="10" spans="1:5">
      <c r="A10" s="114">
        <v>3</v>
      </c>
      <c r="B10" s="110" t="s">
        <v>115</v>
      </c>
      <c r="C10" s="105" t="e">
        <f>VLOOKUP(Table257519913140106110151155170178204271[[#This Row],[PEG]],Table1016[#All],2,FALSE)</f>
        <v>#N/A</v>
      </c>
      <c r="D10" s="125"/>
      <c r="E10" s="122" t="e">
        <f>VLOOKUP(Table257519913140106110151155170178204271[[#This Row],[PEG]],Table1016[#All],3,FALSE)</f>
        <v>#N/A</v>
      </c>
    </row>
    <row r="11" spans="1:5">
      <c r="A11" s="114">
        <v>4</v>
      </c>
      <c r="B11" s="110" t="s">
        <v>115</v>
      </c>
      <c r="C11" s="105" t="e">
        <f>VLOOKUP(Table257519913140106110151155170178204271[[#This Row],[PEG]],Table1016[#All],2,FALSE)</f>
        <v>#N/A</v>
      </c>
      <c r="D11" s="125"/>
      <c r="E11" s="122" t="e">
        <f>VLOOKUP(Table257519913140106110151155170178204271[[#This Row],[PEG]],Table1016[#All],3,FALSE)</f>
        <v>#N/A</v>
      </c>
    </row>
    <row r="12" spans="1:5">
      <c r="A12" s="114">
        <v>5</v>
      </c>
      <c r="B12" s="110" t="s">
        <v>114</v>
      </c>
      <c r="C12" s="105" t="e">
        <f>VLOOKUP(Table257519913140106110151155170178204271[[#This Row],[PEG]],Table1016[#All],2,FALSE)</f>
        <v>#N/A</v>
      </c>
      <c r="D12" s="125"/>
      <c r="E12" s="122" t="e">
        <f>VLOOKUP(Table257519913140106110151155170178204271[[#This Row],[PEG]],Table1016[#All],3,FALSE)</f>
        <v>#N/A</v>
      </c>
    </row>
    <row r="13" spans="1:5">
      <c r="A13" s="114">
        <v>6</v>
      </c>
      <c r="B13" s="110" t="s">
        <v>115</v>
      </c>
      <c r="C13" s="105" t="e">
        <f>VLOOKUP(Table257519913140106110151155170178204271[[#This Row],[PEG]],Table1016[#All],2,FALSE)</f>
        <v>#N/A</v>
      </c>
      <c r="D13" s="125"/>
      <c r="E13" s="122" t="e">
        <f>VLOOKUP(Table257519913140106110151155170178204271[[#This Row],[PEG]],Table1016[#All],3,FALSE)</f>
        <v>#N/A</v>
      </c>
    </row>
    <row r="14" spans="1:5">
      <c r="A14" s="114">
        <v>7</v>
      </c>
      <c r="B14" s="110" t="s">
        <v>114</v>
      </c>
      <c r="C14" s="105" t="e">
        <f>VLOOKUP(Table257519913140106110151155170178204271[[#This Row],[PEG]],Table1016[#All],2,FALSE)</f>
        <v>#N/A</v>
      </c>
      <c r="D14" s="125"/>
      <c r="E14" s="122" t="e">
        <f>VLOOKUP(Table257519913140106110151155170178204271[[#This Row],[PEG]],Table1016[#All],3,FALSE)</f>
        <v>#N/A</v>
      </c>
    </row>
    <row r="15" spans="1:5">
      <c r="A15" s="114">
        <v>8</v>
      </c>
      <c r="B15" s="110" t="s">
        <v>115</v>
      </c>
      <c r="C15" s="105" t="e">
        <f>VLOOKUP(Table257519913140106110151155170178204271[[#This Row],[PEG]],Table1016[#All],2,FALSE)</f>
        <v>#N/A</v>
      </c>
      <c r="D15" s="112"/>
      <c r="E15" s="122" t="e">
        <f>VLOOKUP(Table257519913140106110151155170178204271[[#This Row],[PEG]],Table1016[#All],3,FALSE)</f>
        <v>#N/A</v>
      </c>
    </row>
    <row r="16" spans="1:5">
      <c r="A16" s="114">
        <v>9</v>
      </c>
      <c r="B16" s="110" t="s">
        <v>12</v>
      </c>
      <c r="C16" s="105" t="e">
        <f>VLOOKUP(Table257519913140106110151155170178204271[[#This Row],[PEG]],Table1016[#All],2,FALSE)</f>
        <v>#N/A</v>
      </c>
      <c r="D16" s="112"/>
      <c r="E16" s="122" t="e">
        <f>VLOOKUP(Table257519913140106110151155170178204271[[#This Row],[PEG]],Table1016[#All],3,FALSE)</f>
        <v>#N/A</v>
      </c>
    </row>
    <row r="17" spans="1:5">
      <c r="A17" s="114">
        <v>10</v>
      </c>
      <c r="B17" s="110" t="s">
        <v>12</v>
      </c>
      <c r="C17" s="105" t="e">
        <f>VLOOKUP(Table257519913140106110151155170178204271[[#This Row],[PEG]],Table1016[#All],2,FALSE)</f>
        <v>#N/A</v>
      </c>
      <c r="D17" s="113"/>
      <c r="E17" s="122" t="e">
        <f>VLOOKUP(Table257519913140106110151155170178204271[[#This Row],[PEG]],Table1016[#All],3,FALSE)</f>
        <v>#N/A</v>
      </c>
    </row>
    <row r="18" spans="1:5">
      <c r="A18" s="114">
        <v>11</v>
      </c>
      <c r="B18" s="110" t="s">
        <v>115</v>
      </c>
      <c r="C18" s="105" t="e">
        <f>VLOOKUP(Table257519913140106110151155170178204271[[#This Row],[PEG]],Table1016[#All],2,FALSE)</f>
        <v>#N/A</v>
      </c>
      <c r="D18" s="113"/>
      <c r="E18" s="122" t="e">
        <f>VLOOKUP(Table257519913140106110151155170178204271[[#This Row],[PEG]],Table1016[#All],3,FALSE)</f>
        <v>#N/A</v>
      </c>
    </row>
    <row r="19" spans="1:5">
      <c r="A19" s="114">
        <v>12</v>
      </c>
      <c r="B19" s="110" t="s">
        <v>115</v>
      </c>
      <c r="C19" s="105" t="e">
        <f>VLOOKUP(Table257519913140106110151155170178204271[[#This Row],[PEG]],Table1016[#All],2,FALSE)</f>
        <v>#N/A</v>
      </c>
      <c r="D19" s="113"/>
      <c r="E19" s="122" t="e">
        <f>VLOOKUP(Table257519913140106110151155170178204271[[#This Row],[PEG]],Table1016[#All],3,FALSE)</f>
        <v>#N/A</v>
      </c>
    </row>
    <row r="20" spans="1:5">
      <c r="A20" s="114">
        <v>13</v>
      </c>
      <c r="B20" s="110" t="s">
        <v>114</v>
      </c>
      <c r="C20" s="105" t="e">
        <f>VLOOKUP(Table257519913140106110151155170178204271[[#This Row],[PEG]],Table1016[#All],2,FALSE)</f>
        <v>#N/A</v>
      </c>
      <c r="D20" s="113"/>
      <c r="E20" s="122" t="e">
        <f>VLOOKUP(Table257519913140106110151155170178204271[[#This Row],[PEG]],Table1016[#All],3,FALSE)</f>
        <v>#N/A</v>
      </c>
    </row>
    <row r="21" spans="1:5">
      <c r="A21" s="114">
        <v>14</v>
      </c>
      <c r="B21" s="110" t="s">
        <v>12</v>
      </c>
      <c r="C21" s="105" t="e">
        <f>VLOOKUP(Table257519913140106110151155170178204271[[#This Row],[PEG]],Table1016[#All],2,FALSE)</f>
        <v>#N/A</v>
      </c>
      <c r="D21" s="113"/>
      <c r="E21" s="122" t="e">
        <f>VLOOKUP(Table257519913140106110151155170178204271[[#This Row],[PEG]],Table1016[#All],3,FALSE)</f>
        <v>#N/A</v>
      </c>
    </row>
    <row r="22" spans="1:5">
      <c r="A22" s="114">
        <v>15</v>
      </c>
      <c r="B22" s="110" t="s">
        <v>12</v>
      </c>
      <c r="C22" s="105" t="e">
        <f>VLOOKUP(Table257519913140106110151155170178204271[[#This Row],[PEG]],Table1016[#All],2,FALSE)</f>
        <v>#N/A</v>
      </c>
      <c r="D22" s="113"/>
      <c r="E22" s="122" t="e">
        <f>VLOOKUP(Table257519913140106110151155170178204271[[#This Row],[PEG]],Table1016[#All],3,FALSE)</f>
        <v>#N/A</v>
      </c>
    </row>
    <row r="23" spans="1:5">
      <c r="A23" s="114">
        <v>16</v>
      </c>
      <c r="B23" s="110" t="s">
        <v>115</v>
      </c>
      <c r="C23" s="105" t="e">
        <f>VLOOKUP(Table257519913140106110151155170178204271[[#This Row],[PEG]],Table1016[#All],2,FALSE)</f>
        <v>#N/A</v>
      </c>
      <c r="D23" s="113"/>
      <c r="E23" s="122" t="e">
        <f>VLOOKUP(Table257519913140106110151155170178204271[[#This Row],[PEG]],Table1016[#All],3,FALSE)</f>
        <v>#N/A</v>
      </c>
    </row>
    <row r="24" spans="1:5">
      <c r="A24" s="114">
        <v>17</v>
      </c>
      <c r="B24" s="110" t="s">
        <v>114</v>
      </c>
      <c r="C24" s="105" t="e">
        <f>VLOOKUP(Table257519913140106110151155170178204271[[#This Row],[PEG]],Table1016[#All],2,FALSE)</f>
        <v>#N/A</v>
      </c>
      <c r="D24" s="113"/>
      <c r="E24" s="122" t="e">
        <f>VLOOKUP(Table257519913140106110151155170178204271[[#This Row],[PEG]],Table1016[#All],3,FALSE)</f>
        <v>#N/A</v>
      </c>
    </row>
    <row r="25" spans="1:5">
      <c r="A25" s="114">
        <v>18</v>
      </c>
      <c r="B25" s="110" t="s">
        <v>12</v>
      </c>
      <c r="C25" s="105" t="e">
        <f>VLOOKUP(Table257519913140106110151155170178204271[[#This Row],[PEG]],Table1016[#All],2,FALSE)</f>
        <v>#N/A</v>
      </c>
      <c r="D25" s="113"/>
      <c r="E25" s="122" t="e">
        <f>VLOOKUP(Table257519913140106110151155170178204271[[#This Row],[PEG]],Table1016[#All],3,FALSE)</f>
        <v>#N/A</v>
      </c>
    </row>
    <row r="26" spans="1:5">
      <c r="A26" s="114">
        <v>19</v>
      </c>
      <c r="B26" s="110" t="s">
        <v>12</v>
      </c>
      <c r="C26" s="105" t="e">
        <f>VLOOKUP(Table257519913140106110151155170178204271[[#This Row],[PEG]],Table1016[#All],2,FALSE)</f>
        <v>#N/A</v>
      </c>
      <c r="D26" s="113"/>
      <c r="E26" s="122" t="e">
        <f>VLOOKUP(Table257519913140106110151155170178204271[[#This Row],[PEG]],Table1016[#All],3,FALSE)</f>
        <v>#N/A</v>
      </c>
    </row>
    <row r="27" spans="1:5">
      <c r="A27" s="114">
        <v>20</v>
      </c>
      <c r="B27" s="110" t="s">
        <v>115</v>
      </c>
      <c r="C27" s="105" t="e">
        <f>VLOOKUP(Table257519913140106110151155170178204271[[#This Row],[PEG]],Table1016[#All],2,FALSE)</f>
        <v>#N/A</v>
      </c>
      <c r="D27" s="113"/>
      <c r="E27" s="122" t="e">
        <f>VLOOKUP(Table257519913140106110151155170178204271[[#This Row],[PEG]],Table1016[#All],3,FALSE)</f>
        <v>#N/A</v>
      </c>
    </row>
    <row r="28" spans="1:5">
      <c r="A28" s="114">
        <v>21</v>
      </c>
      <c r="B28" s="110" t="s">
        <v>114</v>
      </c>
      <c r="C28" s="105" t="e">
        <f>VLOOKUP(Table257519913140106110151155170178204271[[#This Row],[PEG]],Table1016[#All],2,FALSE)</f>
        <v>#N/A</v>
      </c>
      <c r="D28" s="113"/>
      <c r="E28" s="122" t="e">
        <f>VLOOKUP(Table257519913140106110151155170178204271[[#This Row],[PEG]],Table1016[#All],3,FALSE)</f>
        <v>#N/A</v>
      </c>
    </row>
    <row r="29" spans="1:5">
      <c r="A29" s="114">
        <v>22</v>
      </c>
      <c r="B29" s="110" t="s">
        <v>12</v>
      </c>
      <c r="C29" s="105" t="e">
        <f>VLOOKUP(Table257519913140106110151155170178204271[[#This Row],[PEG]],Table1016[#All],2,FALSE)</f>
        <v>#N/A</v>
      </c>
      <c r="D29" s="113"/>
      <c r="E29" s="122" t="e">
        <f>VLOOKUP(Table257519913140106110151155170178204271[[#This Row],[PEG]],Table1016[#All],3,FALSE)</f>
        <v>#N/A</v>
      </c>
    </row>
    <row r="30" spans="1:5">
      <c r="A30" s="114">
        <v>23</v>
      </c>
      <c r="B30" s="110" t="s">
        <v>12</v>
      </c>
      <c r="C30" s="105" t="e">
        <f>VLOOKUP(Table257519913140106110151155170178204271[[#This Row],[PEG]],Table1016[#All],2,FALSE)</f>
        <v>#N/A</v>
      </c>
      <c r="D30" s="113"/>
      <c r="E30" s="122" t="e">
        <f>VLOOKUP(Table257519913140106110151155170178204271[[#This Row],[PEG]],Table1016[#All],3,FALSE)</f>
        <v>#N/A</v>
      </c>
    </row>
    <row r="31" spans="1:5">
      <c r="A31" s="114">
        <v>24</v>
      </c>
      <c r="B31" s="110" t="s">
        <v>115</v>
      </c>
      <c r="C31" s="105" t="e">
        <f>VLOOKUP(Table257519913140106110151155170178204271[[#This Row],[PEG]],Table1016[#All],2,FALSE)</f>
        <v>#N/A</v>
      </c>
      <c r="D31" s="113"/>
      <c r="E31" s="122" t="e">
        <f>VLOOKUP(Table257519913140106110151155170178204271[[#This Row],[PEG]],Table1016[#All],3,FALSE)</f>
        <v>#N/A</v>
      </c>
    </row>
    <row r="32" spans="1:5">
      <c r="A32" s="114">
        <v>25</v>
      </c>
      <c r="B32" s="110" t="s">
        <v>115</v>
      </c>
      <c r="C32" s="105" t="e">
        <f>VLOOKUP(Table257519913140106110151155170178204271[[#This Row],[PEG]],Table1016[#All],2,FALSE)</f>
        <v>#N/A</v>
      </c>
      <c r="D32" s="113"/>
      <c r="E32" s="122" t="e">
        <f>VLOOKUP(Table257519913140106110151155170178204271[[#This Row],[PEG]],Table1016[#All],3,FALSE)</f>
        <v>#N/A</v>
      </c>
    </row>
    <row r="33" spans="1:5">
      <c r="A33" s="114">
        <v>26</v>
      </c>
      <c r="B33" s="110" t="s">
        <v>124</v>
      </c>
      <c r="C33" s="105" t="e">
        <f>VLOOKUP(Table257519913140106110151155170178204271[[#This Row],[PEG]],Table1016[#All],2,FALSE)</f>
        <v>#N/A</v>
      </c>
      <c r="D33" s="113"/>
      <c r="E33" s="122" t="e">
        <f>VLOOKUP(Table257519913140106110151155170178204271[[#This Row],[PEG]],Table1016[#All],3,FALSE)</f>
        <v>#N/A</v>
      </c>
    </row>
    <row r="34" spans="1:5">
      <c r="A34" s="114">
        <v>27</v>
      </c>
      <c r="B34" s="110" t="s">
        <v>115</v>
      </c>
      <c r="C34" s="105" t="e">
        <f>VLOOKUP(Table257519913140106110151155170178204271[[#This Row],[PEG]],Table1016[#All],2,FALSE)</f>
        <v>#N/A</v>
      </c>
      <c r="D34" s="113"/>
      <c r="E34" s="122" t="e">
        <f>VLOOKUP(Table257519913140106110151155170178204271[[#This Row],[PEG]],Table1016[#All],3,FALSE)</f>
        <v>#N/A</v>
      </c>
    </row>
    <row r="35" spans="1:5">
      <c r="A35" s="114">
        <v>28</v>
      </c>
      <c r="B35" s="110" t="s">
        <v>124</v>
      </c>
      <c r="C35" s="105" t="e">
        <f>VLOOKUP(Table257519913140106110151155170178204271[[#This Row],[PEG]],Table1016[#All],2,FALSE)</f>
        <v>#N/A</v>
      </c>
      <c r="D35" s="113"/>
      <c r="E35" s="122" t="e">
        <f>VLOOKUP(Table257519913140106110151155170178204271[[#This Row],[PEG]],Table1016[#All],3,FALSE)</f>
        <v>#N/A</v>
      </c>
    </row>
    <row r="36" spans="1:5">
      <c r="A36" s="114">
        <v>29</v>
      </c>
      <c r="B36" s="110" t="s">
        <v>115</v>
      </c>
      <c r="C36" s="105" t="e">
        <f>VLOOKUP(Table257519913140106110151155170178204271[[#This Row],[PEG]],Table1016[#All],2,FALSE)</f>
        <v>#N/A</v>
      </c>
      <c r="D36" s="113"/>
      <c r="E36" s="122" t="e">
        <f>VLOOKUP(Table257519913140106110151155170178204271[[#This Row],[PEG]],Table1016[#All],3,FALSE)</f>
        <v>#N/A</v>
      </c>
    </row>
    <row r="37" spans="1:5">
      <c r="A37" s="114">
        <v>30</v>
      </c>
      <c r="B37" s="110" t="s">
        <v>12</v>
      </c>
      <c r="C37" s="105" t="e">
        <f>VLOOKUP(Table257519913140106110151155170178204271[[#This Row],[PEG]],Table1016[#All],2,FALSE)</f>
        <v>#N/A</v>
      </c>
      <c r="D37" s="113"/>
      <c r="E37" s="122" t="e">
        <f>VLOOKUP(Table257519913140106110151155170178204271[[#This Row],[PEG]],Table1016[#All],3,FALSE)</f>
        <v>#N/A</v>
      </c>
    </row>
    <row r="38" spans="1:5">
      <c r="A38" s="114">
        <v>31</v>
      </c>
      <c r="B38" s="110" t="s">
        <v>12</v>
      </c>
      <c r="C38" s="105" t="e">
        <f>VLOOKUP(Table257519913140106110151155170178204271[[#This Row],[PEG]],Table1016[#All],2,FALSE)</f>
        <v>#N/A</v>
      </c>
      <c r="D38" s="113"/>
      <c r="E38" s="122" t="e">
        <f>VLOOKUP(Table257519913140106110151155170178204271[[#This Row],[PEG]],Table1016[#All],3,FALSE)</f>
        <v>#N/A</v>
      </c>
    </row>
    <row r="39" spans="1:5">
      <c r="A39" s="114">
        <v>32</v>
      </c>
      <c r="B39" s="110" t="s">
        <v>12</v>
      </c>
      <c r="C39" s="105" t="e">
        <f>VLOOKUP(Table257519913140106110151155170178204271[[#This Row],[PEG]],Table1016[#All],2,FALSE)</f>
        <v>#N/A</v>
      </c>
      <c r="D39" s="113"/>
      <c r="E39" s="122" t="e">
        <f>VLOOKUP(Table257519913140106110151155170178204271[[#This Row],[PEG]],Table1016[#All],3,FALSE)</f>
        <v>#N/A</v>
      </c>
    </row>
    <row r="40" spans="1:5">
      <c r="A40" s="114">
        <v>33</v>
      </c>
      <c r="B40" s="110" t="s">
        <v>12</v>
      </c>
      <c r="C40" s="105" t="e">
        <f>VLOOKUP(Table257519913140106110151155170178204271[[#This Row],[PEG]],Table1016[#All],2,FALSE)</f>
        <v>#N/A</v>
      </c>
      <c r="D40" s="113"/>
      <c r="E40" s="122" t="e">
        <f>VLOOKUP(Table257519913140106110151155170178204271[[#This Row],[PEG]],Table1016[#All],3,FALSE)</f>
        <v>#N/A</v>
      </c>
    </row>
    <row r="41" spans="1:5">
      <c r="A41" s="114">
        <v>34</v>
      </c>
      <c r="B41" s="110" t="s">
        <v>115</v>
      </c>
      <c r="C41" s="105" t="e">
        <f>VLOOKUP(Table257519913140106110151155170178204271[[#This Row],[PEG]],Table1016[#All],2,FALSE)</f>
        <v>#N/A</v>
      </c>
      <c r="D41" s="113"/>
      <c r="E41" s="122" t="e">
        <f>VLOOKUP(Table257519913140106110151155170178204271[[#This Row],[PEG]],Table1016[#All],3,FALSE)</f>
        <v>#N/A</v>
      </c>
    </row>
    <row r="42" spans="1:5">
      <c r="A42" s="114">
        <v>35</v>
      </c>
      <c r="B42" s="110" t="s">
        <v>12</v>
      </c>
      <c r="C42" s="105" t="e">
        <f>VLOOKUP(Table257519913140106110151155170178204271[[#This Row],[PEG]],Table1016[#All],2,FALSE)</f>
        <v>#N/A</v>
      </c>
      <c r="D42" s="111"/>
      <c r="E42" s="122" t="e">
        <f>VLOOKUP(Table257519913140106110151155170178204271[[#This Row],[PEG]],Table1016[#All],3,FALSE)</f>
        <v>#N/A</v>
      </c>
    </row>
    <row r="43" spans="1:5">
      <c r="A43" s="114">
        <v>36</v>
      </c>
      <c r="B43" s="110" t="s">
        <v>115</v>
      </c>
      <c r="C43" s="105" t="e">
        <f>VLOOKUP(Table257519913140106110151155170178204271[[#This Row],[PEG]],Table1016[#All],2,FALSE)</f>
        <v>#N/A</v>
      </c>
      <c r="D43" s="111"/>
      <c r="E43" s="122" t="e">
        <f>VLOOKUP(Table257519913140106110151155170178204271[[#This Row],[PEG]],Table1016[#All],3,FALSE)</f>
        <v>#N/A</v>
      </c>
    </row>
    <row r="44" spans="1:5">
      <c r="A44" s="114">
        <v>37</v>
      </c>
      <c r="B44" s="110" t="s">
        <v>13</v>
      </c>
      <c r="C44" s="17" t="s">
        <v>13</v>
      </c>
      <c r="D44" s="111"/>
      <c r="E44" s="31"/>
    </row>
  </sheetData>
  <mergeCells count="1">
    <mergeCell ref="A1:B1"/>
  </mergeCells>
  <conditionalFormatting sqref="B8:B18">
    <cfRule type="containsText" dxfId="594" priority="1" operator="containsText" text="Hear">
      <formula>NOT(ISERROR(SEARCH("Hear",B8)))</formula>
    </cfRule>
  </conditionalFormatting>
  <conditionalFormatting sqref="B30">
    <cfRule type="containsText" dxfId="593" priority="4" operator="containsText" text="Hear">
      <formula>NOT(ISERROR(SEARCH("Hear",B30)))</formula>
    </cfRule>
  </conditionalFormatting>
  <conditionalFormatting sqref="B43:B44">
    <cfRule type="containsText" dxfId="592" priority="8" operator="containsText" text="Hear">
      <formula>NOT(ISERROR(SEARCH("Hear",B43)))</formula>
    </cfRule>
  </conditionalFormatting>
  <conditionalFormatting sqref="E44">
    <cfRule type="containsText" dxfId="591" priority="6" operator="containsText" text="WEB SERVICE">
      <formula>NOT(ISERROR(SEARCH("WEB SERVICE",E44)))</formula>
    </cfRule>
    <cfRule type="containsText" dxfId="590" priority="7" operator="containsText" text="DB">
      <formula>NOT(ISERROR(SEARCH("DB",E44)))</formula>
    </cfRule>
  </conditionalFormatting>
  <conditionalFormatting sqref="C44">
    <cfRule type="expression" dxfId="589" priority="9">
      <formula>$B44="Dial"</formula>
    </cfRule>
  </conditionalFormatting>
  <conditionalFormatting sqref="C44">
    <cfRule type="expression" dxfId="588" priority="3">
      <formula>$B44="Speak"</formula>
    </cfRule>
  </conditionalFormatting>
  <conditionalFormatting sqref="B19:B29 B31:B35 B42">
    <cfRule type="containsText" dxfId="587" priority="5" operator="containsText" text="Hear">
      <formula>NOT(ISERROR(SEARCH("Hear",B19)))</formula>
    </cfRule>
  </conditionalFormatting>
  <hyperlinks>
    <hyperlink ref="A1" location="'Test Case Overview'!A1" display="Return to Test Case Overview" xr:uid="{00000000-0004-0000-B5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412C6EFC-57FA-473B-B24D-C121B95B81F4}">
            <xm:f>'TC1'!$B8="HANGUP"</xm:f>
            <x14:dxf>
              <font>
                <b/>
                <i val="0"/>
              </font>
            </x14:dxf>
          </x14:cfRule>
          <xm:sqref>C8</xm:sqref>
        </x14:conditionalFormatting>
        <x14:conditionalFormatting xmlns:xm="http://schemas.microsoft.com/office/excel/2006/main">
          <x14:cfRule type="expression" priority="3373" id="{412C6EFC-57FA-473B-B24D-C121B95B81F4}">
            <xm:f>'TC1'!$B14="HANGUP"</xm:f>
            <x14:dxf>
              <font>
                <b/>
                <i val="0"/>
              </font>
            </x14:dxf>
          </x14:cfRule>
          <xm:sqref>C34:C43</xm:sqref>
        </x14:conditionalFormatting>
        <x14:conditionalFormatting xmlns:xm="http://schemas.microsoft.com/office/excel/2006/main">
          <x14:cfRule type="expression" priority="3374" id="{412C6EFC-57FA-473B-B24D-C121B95B81F4}">
            <xm:f>'TC1'!#REF!="HANGUP"</xm:f>
            <x14:dxf>
              <font>
                <b/>
                <i val="0"/>
              </font>
            </x14:dxf>
          </x14:cfRule>
          <xm:sqref>C13:C33</xm:sqref>
        </x14:conditionalFormatting>
        <x14:conditionalFormatting xmlns:xm="http://schemas.microsoft.com/office/excel/2006/main">
          <x14:cfRule type="expression" priority="4613" id="{412C6EFC-57FA-473B-B24D-C121B95B81F4}">
            <xm:f>'TC1'!$B10="HANGUP"</xm:f>
            <x14:dxf>
              <font>
                <b/>
                <i val="0"/>
              </font>
            </x14:dxf>
          </x14:cfRule>
          <xm:sqref>C9:C12</xm:sqref>
        </x14:conditionalFormatting>
      </x14:conditionalFormattings>
    </ext>
  </extLst>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600-000000000000}">
  <sheetPr codeName="Sheet184"/>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TC182</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VLOOKUP(Table257519913140106110151155170178204273[[#This Row],[PEG]],Table1016[#All],2,FALSE)</f>
        <v>#N/A</v>
      </c>
      <c r="D9" s="125"/>
      <c r="E9" s="122" t="e">
        <f>VLOOKUP(Table257519913140106110151155170178204273[[#This Row],[PEG]],Table1016[#All],3,FALSE)</f>
        <v>#N/A</v>
      </c>
    </row>
    <row r="10" spans="1:5">
      <c r="A10" s="114">
        <v>3</v>
      </c>
      <c r="B10" s="110" t="s">
        <v>115</v>
      </c>
      <c r="C10" s="105" t="e">
        <f>VLOOKUP(Table257519913140106110151155170178204273[[#This Row],[PEG]],Table1016[#All],2,FALSE)</f>
        <v>#N/A</v>
      </c>
      <c r="D10" s="125"/>
      <c r="E10" s="122" t="e">
        <f>VLOOKUP(Table257519913140106110151155170178204273[[#This Row],[PEG]],Table1016[#All],3,FALSE)</f>
        <v>#N/A</v>
      </c>
    </row>
    <row r="11" spans="1:5">
      <c r="A11" s="114">
        <v>4</v>
      </c>
      <c r="B11" s="110" t="s">
        <v>115</v>
      </c>
      <c r="C11" s="105" t="e">
        <f>VLOOKUP(Table257519913140106110151155170178204273[[#This Row],[PEG]],Table1016[#All],2,FALSE)</f>
        <v>#N/A</v>
      </c>
      <c r="D11" s="125"/>
      <c r="E11" s="122" t="e">
        <f>VLOOKUP(Table257519913140106110151155170178204273[[#This Row],[PEG]],Table1016[#All],3,FALSE)</f>
        <v>#N/A</v>
      </c>
    </row>
    <row r="12" spans="1:5">
      <c r="A12" s="114">
        <v>5</v>
      </c>
      <c r="B12" s="110" t="s">
        <v>114</v>
      </c>
      <c r="C12" s="105" t="e">
        <f>VLOOKUP(Table257519913140106110151155170178204273[[#This Row],[PEG]],Table1016[#All],2,FALSE)</f>
        <v>#N/A</v>
      </c>
      <c r="D12" s="125"/>
      <c r="E12" s="122" t="e">
        <f>VLOOKUP(Table257519913140106110151155170178204273[[#This Row],[PEG]],Table1016[#All],3,FALSE)</f>
        <v>#N/A</v>
      </c>
    </row>
    <row r="13" spans="1:5">
      <c r="A13" s="114">
        <v>6</v>
      </c>
      <c r="B13" s="110" t="s">
        <v>115</v>
      </c>
      <c r="C13" s="105" t="e">
        <f>VLOOKUP(Table257519913140106110151155170178204273[[#This Row],[PEG]],Table1016[#All],2,FALSE)</f>
        <v>#N/A</v>
      </c>
      <c r="D13" s="125"/>
      <c r="E13" s="122" t="e">
        <f>VLOOKUP(Table257519913140106110151155170178204273[[#This Row],[PEG]],Table1016[#All],3,FALSE)</f>
        <v>#N/A</v>
      </c>
    </row>
    <row r="14" spans="1:5">
      <c r="A14" s="114">
        <v>7</v>
      </c>
      <c r="B14" s="110" t="s">
        <v>114</v>
      </c>
      <c r="C14" s="105" t="e">
        <f>VLOOKUP(Table257519913140106110151155170178204273[[#This Row],[PEG]],Table1016[#All],2,FALSE)</f>
        <v>#N/A</v>
      </c>
      <c r="D14" s="125"/>
      <c r="E14" s="122" t="e">
        <f>VLOOKUP(Table257519913140106110151155170178204273[[#This Row],[PEG]],Table1016[#All],3,FALSE)</f>
        <v>#N/A</v>
      </c>
    </row>
    <row r="15" spans="1:5">
      <c r="A15" s="114">
        <v>8</v>
      </c>
      <c r="B15" s="110" t="s">
        <v>115</v>
      </c>
      <c r="C15" s="105" t="e">
        <f>VLOOKUP(Table257519913140106110151155170178204273[[#This Row],[PEG]],Table1016[#All],2,FALSE)</f>
        <v>#N/A</v>
      </c>
      <c r="D15" s="112"/>
      <c r="E15" s="122" t="e">
        <f>VLOOKUP(Table257519913140106110151155170178204273[[#This Row],[PEG]],Table1016[#All],3,FALSE)</f>
        <v>#N/A</v>
      </c>
    </row>
    <row r="16" spans="1:5">
      <c r="A16" s="114">
        <v>9</v>
      </c>
      <c r="B16" s="110" t="s">
        <v>12</v>
      </c>
      <c r="C16" s="105" t="e">
        <f>VLOOKUP(Table257519913140106110151155170178204273[[#This Row],[PEG]],Table1016[#All],2,FALSE)</f>
        <v>#N/A</v>
      </c>
      <c r="D16" s="112"/>
      <c r="E16" s="122" t="e">
        <f>VLOOKUP(Table257519913140106110151155170178204273[[#This Row],[PEG]],Table1016[#All],3,FALSE)</f>
        <v>#N/A</v>
      </c>
    </row>
    <row r="17" spans="1:5">
      <c r="A17" s="114">
        <v>10</v>
      </c>
      <c r="B17" s="110" t="s">
        <v>12</v>
      </c>
      <c r="C17" s="105" t="e">
        <f>VLOOKUP(Table257519913140106110151155170178204273[[#This Row],[PEG]],Table1016[#All],2,FALSE)</f>
        <v>#N/A</v>
      </c>
      <c r="D17" s="113"/>
      <c r="E17" s="122" t="e">
        <f>VLOOKUP(Table257519913140106110151155170178204273[[#This Row],[PEG]],Table1016[#All],3,FALSE)</f>
        <v>#N/A</v>
      </c>
    </row>
    <row r="18" spans="1:5">
      <c r="A18" s="114">
        <v>11</v>
      </c>
      <c r="B18" s="110" t="s">
        <v>115</v>
      </c>
      <c r="C18" s="105" t="e">
        <f>VLOOKUP(Table257519913140106110151155170178204273[[#This Row],[PEG]],Table1016[#All],2,FALSE)</f>
        <v>#N/A</v>
      </c>
      <c r="D18" s="113"/>
      <c r="E18" s="122" t="e">
        <f>VLOOKUP(Table257519913140106110151155170178204273[[#This Row],[PEG]],Table1016[#All],3,FALSE)</f>
        <v>#N/A</v>
      </c>
    </row>
    <row r="19" spans="1:5">
      <c r="A19" s="114">
        <v>12</v>
      </c>
      <c r="B19" s="110" t="s">
        <v>115</v>
      </c>
      <c r="C19" s="105" t="e">
        <f>VLOOKUP(Table257519913140106110151155170178204273[[#This Row],[PEG]],Table1016[#All],2,FALSE)</f>
        <v>#N/A</v>
      </c>
      <c r="D19" s="113"/>
      <c r="E19" s="122" t="e">
        <f>VLOOKUP(Table257519913140106110151155170178204273[[#This Row],[PEG]],Table1016[#All],3,FALSE)</f>
        <v>#N/A</v>
      </c>
    </row>
    <row r="20" spans="1:5">
      <c r="A20" s="114">
        <v>13</v>
      </c>
      <c r="B20" s="110" t="s">
        <v>114</v>
      </c>
      <c r="C20" s="105" t="e">
        <f>VLOOKUP(Table257519913140106110151155170178204273[[#This Row],[PEG]],Table1016[#All],2,FALSE)</f>
        <v>#N/A</v>
      </c>
      <c r="D20" s="113"/>
      <c r="E20" s="122" t="e">
        <f>VLOOKUP(Table257519913140106110151155170178204273[[#This Row],[PEG]],Table1016[#All],3,FALSE)</f>
        <v>#N/A</v>
      </c>
    </row>
    <row r="21" spans="1:5">
      <c r="A21" s="114">
        <v>14</v>
      </c>
      <c r="B21" s="110" t="s">
        <v>12</v>
      </c>
      <c r="C21" s="105" t="e">
        <f>VLOOKUP(Table257519913140106110151155170178204273[[#This Row],[PEG]],Table1016[#All],2,FALSE)</f>
        <v>#N/A</v>
      </c>
      <c r="D21" s="113"/>
      <c r="E21" s="122" t="e">
        <f>VLOOKUP(Table257519913140106110151155170178204273[[#This Row],[PEG]],Table1016[#All],3,FALSE)</f>
        <v>#N/A</v>
      </c>
    </row>
    <row r="22" spans="1:5">
      <c r="A22" s="114">
        <v>15</v>
      </c>
      <c r="B22" s="110" t="s">
        <v>12</v>
      </c>
      <c r="C22" s="105" t="e">
        <f>VLOOKUP(Table257519913140106110151155170178204273[[#This Row],[PEG]],Table1016[#All],2,FALSE)</f>
        <v>#N/A</v>
      </c>
      <c r="D22" s="113"/>
      <c r="E22" s="122" t="e">
        <f>VLOOKUP(Table257519913140106110151155170178204273[[#This Row],[PEG]],Table1016[#All],3,FALSE)</f>
        <v>#N/A</v>
      </c>
    </row>
    <row r="23" spans="1:5">
      <c r="A23" s="114">
        <v>16</v>
      </c>
      <c r="B23" s="110" t="s">
        <v>115</v>
      </c>
      <c r="C23" s="105" t="e">
        <f>VLOOKUP(Table257519913140106110151155170178204273[[#This Row],[PEG]],Table1016[#All],2,FALSE)</f>
        <v>#N/A</v>
      </c>
      <c r="D23" s="113"/>
      <c r="E23" s="122" t="e">
        <f>VLOOKUP(Table257519913140106110151155170178204273[[#This Row],[PEG]],Table1016[#All],3,FALSE)</f>
        <v>#N/A</v>
      </c>
    </row>
    <row r="24" spans="1:5">
      <c r="A24" s="114">
        <v>17</v>
      </c>
      <c r="B24" s="110" t="s">
        <v>114</v>
      </c>
      <c r="C24" s="105" t="e">
        <f>VLOOKUP(Table257519913140106110151155170178204273[[#This Row],[PEG]],Table1016[#All],2,FALSE)</f>
        <v>#N/A</v>
      </c>
      <c r="D24" s="113"/>
      <c r="E24" s="122" t="e">
        <f>VLOOKUP(Table257519913140106110151155170178204273[[#This Row],[PEG]],Table1016[#All],3,FALSE)</f>
        <v>#N/A</v>
      </c>
    </row>
    <row r="25" spans="1:5">
      <c r="A25" s="114">
        <v>18</v>
      </c>
      <c r="B25" s="110" t="s">
        <v>12</v>
      </c>
      <c r="C25" s="105" t="e">
        <f>VLOOKUP(Table257519913140106110151155170178204273[[#This Row],[PEG]],Table1016[#All],2,FALSE)</f>
        <v>#N/A</v>
      </c>
      <c r="D25" s="113"/>
      <c r="E25" s="122" t="e">
        <f>VLOOKUP(Table257519913140106110151155170178204273[[#This Row],[PEG]],Table1016[#All],3,FALSE)</f>
        <v>#N/A</v>
      </c>
    </row>
    <row r="26" spans="1:5">
      <c r="A26" s="114">
        <v>19</v>
      </c>
      <c r="B26" s="110" t="s">
        <v>12</v>
      </c>
      <c r="C26" s="105" t="e">
        <f>VLOOKUP(Table257519913140106110151155170178204273[[#This Row],[PEG]],Table1016[#All],2,FALSE)</f>
        <v>#N/A</v>
      </c>
      <c r="D26" s="113"/>
      <c r="E26" s="122" t="e">
        <f>VLOOKUP(Table257519913140106110151155170178204273[[#This Row],[PEG]],Table1016[#All],3,FALSE)</f>
        <v>#N/A</v>
      </c>
    </row>
    <row r="27" spans="1:5">
      <c r="A27" s="114">
        <v>20</v>
      </c>
      <c r="B27" s="110" t="s">
        <v>115</v>
      </c>
      <c r="C27" s="105" t="e">
        <f>VLOOKUP(Table257519913140106110151155170178204273[[#This Row],[PEG]],Table1016[#All],2,FALSE)</f>
        <v>#N/A</v>
      </c>
      <c r="D27" s="113"/>
      <c r="E27" s="122" t="e">
        <f>VLOOKUP(Table257519913140106110151155170178204273[[#This Row],[PEG]],Table1016[#All],3,FALSE)</f>
        <v>#N/A</v>
      </c>
    </row>
    <row r="28" spans="1:5">
      <c r="A28" s="114">
        <v>21</v>
      </c>
      <c r="B28" s="110" t="s">
        <v>114</v>
      </c>
      <c r="C28" s="105" t="e">
        <f>VLOOKUP(Table257519913140106110151155170178204273[[#This Row],[PEG]],Table1016[#All],2,FALSE)</f>
        <v>#N/A</v>
      </c>
      <c r="D28" s="113"/>
      <c r="E28" s="122" t="e">
        <f>VLOOKUP(Table257519913140106110151155170178204273[[#This Row],[PEG]],Table1016[#All],3,FALSE)</f>
        <v>#N/A</v>
      </c>
    </row>
    <row r="29" spans="1:5">
      <c r="A29" s="114">
        <v>22</v>
      </c>
      <c r="B29" s="110" t="s">
        <v>12</v>
      </c>
      <c r="C29" s="105" t="e">
        <f>VLOOKUP(Table257519913140106110151155170178204273[[#This Row],[PEG]],Table1016[#All],2,FALSE)</f>
        <v>#N/A</v>
      </c>
      <c r="D29" s="113"/>
      <c r="E29" s="122" t="e">
        <f>VLOOKUP(Table257519913140106110151155170178204273[[#This Row],[PEG]],Table1016[#All],3,FALSE)</f>
        <v>#N/A</v>
      </c>
    </row>
    <row r="30" spans="1:5">
      <c r="A30" s="114">
        <v>23</v>
      </c>
      <c r="B30" s="110" t="s">
        <v>12</v>
      </c>
      <c r="C30" s="105" t="e">
        <f>VLOOKUP(Table257519913140106110151155170178204273[[#This Row],[PEG]],Table1016[#All],2,FALSE)</f>
        <v>#N/A</v>
      </c>
      <c r="D30" s="113"/>
      <c r="E30" s="122" t="e">
        <f>VLOOKUP(Table257519913140106110151155170178204273[[#This Row],[PEG]],Table1016[#All],3,FALSE)</f>
        <v>#N/A</v>
      </c>
    </row>
    <row r="31" spans="1:5">
      <c r="A31" s="114">
        <v>24</v>
      </c>
      <c r="B31" s="110" t="s">
        <v>115</v>
      </c>
      <c r="C31" s="105" t="e">
        <f>VLOOKUP(Table257519913140106110151155170178204273[[#This Row],[PEG]],Table1016[#All],2,FALSE)</f>
        <v>#N/A</v>
      </c>
      <c r="D31" s="113"/>
      <c r="E31" s="122" t="e">
        <f>VLOOKUP(Table257519913140106110151155170178204273[[#This Row],[PEG]],Table1016[#All],3,FALSE)</f>
        <v>#N/A</v>
      </c>
    </row>
    <row r="32" spans="1:5">
      <c r="A32" s="114">
        <v>25</v>
      </c>
      <c r="B32" s="110" t="s">
        <v>115</v>
      </c>
      <c r="C32" s="105" t="e">
        <f>VLOOKUP(Table257519913140106110151155170178204273[[#This Row],[PEG]],Table1016[#All],2,FALSE)</f>
        <v>#N/A</v>
      </c>
      <c r="D32" s="113"/>
      <c r="E32" s="122" t="e">
        <f>VLOOKUP(Table257519913140106110151155170178204273[[#This Row],[PEG]],Table1016[#All],3,FALSE)</f>
        <v>#N/A</v>
      </c>
    </row>
    <row r="33" spans="1:5">
      <c r="A33" s="114">
        <v>26</v>
      </c>
      <c r="B33" s="110" t="s">
        <v>124</v>
      </c>
      <c r="C33" s="105" t="e">
        <f>VLOOKUP(Table257519913140106110151155170178204273[[#This Row],[PEG]],Table1016[#All],2,FALSE)</f>
        <v>#N/A</v>
      </c>
      <c r="D33" s="113"/>
      <c r="E33" s="122" t="e">
        <f>VLOOKUP(Table257519913140106110151155170178204273[[#This Row],[PEG]],Table1016[#All],3,FALSE)</f>
        <v>#N/A</v>
      </c>
    </row>
    <row r="34" spans="1:5">
      <c r="A34" s="114">
        <v>27</v>
      </c>
      <c r="B34" s="110" t="s">
        <v>115</v>
      </c>
      <c r="C34" s="105" t="e">
        <f>VLOOKUP(Table257519913140106110151155170178204273[[#This Row],[PEG]],Table1016[#All],2,FALSE)</f>
        <v>#N/A</v>
      </c>
      <c r="D34" s="113"/>
      <c r="E34" s="122" t="e">
        <f>VLOOKUP(Table257519913140106110151155170178204273[[#This Row],[PEG]],Table1016[#All],3,FALSE)</f>
        <v>#N/A</v>
      </c>
    </row>
    <row r="35" spans="1:5">
      <c r="A35" s="114">
        <v>28</v>
      </c>
      <c r="B35" s="110" t="s">
        <v>124</v>
      </c>
      <c r="C35" s="105" t="e">
        <f>VLOOKUP(Table257519913140106110151155170178204273[[#This Row],[PEG]],Table1016[#All],2,FALSE)</f>
        <v>#N/A</v>
      </c>
      <c r="D35" s="113"/>
      <c r="E35" s="122" t="e">
        <f>VLOOKUP(Table257519913140106110151155170178204273[[#This Row],[PEG]],Table1016[#All],3,FALSE)</f>
        <v>#N/A</v>
      </c>
    </row>
    <row r="36" spans="1:5">
      <c r="A36" s="114">
        <v>29</v>
      </c>
      <c r="B36" s="110" t="s">
        <v>115</v>
      </c>
      <c r="C36" s="105" t="e">
        <f>VLOOKUP(Table257519913140106110151155170178204273[[#This Row],[PEG]],Table1016[#All],2,FALSE)</f>
        <v>#N/A</v>
      </c>
      <c r="D36" s="113"/>
      <c r="E36" s="122" t="e">
        <f>VLOOKUP(Table257519913140106110151155170178204273[[#This Row],[PEG]],Table1016[#All],3,FALSE)</f>
        <v>#N/A</v>
      </c>
    </row>
    <row r="37" spans="1:5">
      <c r="A37" s="114">
        <v>30</v>
      </c>
      <c r="B37" s="110" t="s">
        <v>12</v>
      </c>
      <c r="C37" s="105" t="e">
        <f>VLOOKUP(Table257519913140106110151155170178204273[[#This Row],[PEG]],Table1016[#All],2,FALSE)</f>
        <v>#N/A</v>
      </c>
      <c r="D37" s="113"/>
      <c r="E37" s="122" t="e">
        <f>VLOOKUP(Table257519913140106110151155170178204273[[#This Row],[PEG]],Table1016[#All],3,FALSE)</f>
        <v>#N/A</v>
      </c>
    </row>
    <row r="38" spans="1:5">
      <c r="A38" s="114">
        <v>31</v>
      </c>
      <c r="B38" s="110" t="s">
        <v>12</v>
      </c>
      <c r="C38" s="105" t="e">
        <f>VLOOKUP(Table257519913140106110151155170178204273[[#This Row],[PEG]],Table1016[#All],2,FALSE)</f>
        <v>#N/A</v>
      </c>
      <c r="D38" s="113"/>
      <c r="E38" s="122" t="e">
        <f>VLOOKUP(Table257519913140106110151155170178204273[[#This Row],[PEG]],Table1016[#All],3,FALSE)</f>
        <v>#N/A</v>
      </c>
    </row>
    <row r="39" spans="1:5">
      <c r="A39" s="114">
        <v>32</v>
      </c>
      <c r="B39" s="110" t="s">
        <v>12</v>
      </c>
      <c r="C39" s="105" t="e">
        <f>VLOOKUP(Table257519913140106110151155170178204273[[#This Row],[PEG]],Table1016[#All],2,FALSE)</f>
        <v>#N/A</v>
      </c>
      <c r="D39" s="113"/>
      <c r="E39" s="122" t="e">
        <f>VLOOKUP(Table257519913140106110151155170178204273[[#This Row],[PEG]],Table1016[#All],3,FALSE)</f>
        <v>#N/A</v>
      </c>
    </row>
    <row r="40" spans="1:5">
      <c r="A40" s="114">
        <v>33</v>
      </c>
      <c r="B40" s="110" t="s">
        <v>12</v>
      </c>
      <c r="C40" s="105" t="e">
        <f>VLOOKUP(Table257519913140106110151155170178204273[[#This Row],[PEG]],Table1016[#All],2,FALSE)</f>
        <v>#N/A</v>
      </c>
      <c r="D40" s="113"/>
      <c r="E40" s="122" t="e">
        <f>VLOOKUP(Table257519913140106110151155170178204273[[#This Row],[PEG]],Table1016[#All],3,FALSE)</f>
        <v>#N/A</v>
      </c>
    </row>
    <row r="41" spans="1:5">
      <c r="A41" s="114">
        <v>34</v>
      </c>
      <c r="B41" s="110" t="s">
        <v>115</v>
      </c>
      <c r="C41" s="105" t="e">
        <f>VLOOKUP(Table257519913140106110151155170178204273[[#This Row],[PEG]],Table1016[#All],2,FALSE)</f>
        <v>#N/A</v>
      </c>
      <c r="D41" s="113"/>
      <c r="E41" s="122" t="e">
        <f>VLOOKUP(Table257519913140106110151155170178204273[[#This Row],[PEG]],Table1016[#All],3,FALSE)</f>
        <v>#N/A</v>
      </c>
    </row>
    <row r="42" spans="1:5">
      <c r="A42" s="114">
        <v>35</v>
      </c>
      <c r="B42" s="110" t="s">
        <v>12</v>
      </c>
      <c r="C42" s="105" t="e">
        <f>VLOOKUP(Table257519913140106110151155170178204273[[#This Row],[PEG]],Table1016[#All],2,FALSE)</f>
        <v>#N/A</v>
      </c>
      <c r="D42" s="111"/>
      <c r="E42" s="122" t="e">
        <f>VLOOKUP(Table257519913140106110151155170178204273[[#This Row],[PEG]],Table1016[#All],3,FALSE)</f>
        <v>#N/A</v>
      </c>
    </row>
    <row r="43" spans="1:5">
      <c r="A43" s="114">
        <v>36</v>
      </c>
      <c r="B43" s="110" t="s">
        <v>115</v>
      </c>
      <c r="C43" s="105" t="e">
        <f>VLOOKUP(Table257519913140106110151155170178204273[[#This Row],[PEG]],Table1016[#All],2,FALSE)</f>
        <v>#N/A</v>
      </c>
      <c r="D43" s="111"/>
      <c r="E43" s="122" t="e">
        <f>VLOOKUP(Table257519913140106110151155170178204273[[#This Row],[PEG]],Table1016[#All],3,FALSE)</f>
        <v>#N/A</v>
      </c>
    </row>
    <row r="44" spans="1:5">
      <c r="A44" s="114">
        <v>37</v>
      </c>
      <c r="B44" s="110" t="s">
        <v>13</v>
      </c>
      <c r="C44" s="17" t="s">
        <v>13</v>
      </c>
      <c r="D44" s="111"/>
      <c r="E44" s="31"/>
    </row>
  </sheetData>
  <mergeCells count="1">
    <mergeCell ref="A1:B1"/>
  </mergeCells>
  <conditionalFormatting sqref="B8:B18">
    <cfRule type="containsText" dxfId="573" priority="1" operator="containsText" text="Hear">
      <formula>NOT(ISERROR(SEARCH("Hear",B8)))</formula>
    </cfRule>
  </conditionalFormatting>
  <conditionalFormatting sqref="B30">
    <cfRule type="containsText" dxfId="572" priority="4" operator="containsText" text="Hear">
      <formula>NOT(ISERROR(SEARCH("Hear",B30)))</formula>
    </cfRule>
  </conditionalFormatting>
  <conditionalFormatting sqref="B43:B44">
    <cfRule type="containsText" dxfId="571" priority="8" operator="containsText" text="Hear">
      <formula>NOT(ISERROR(SEARCH("Hear",B43)))</formula>
    </cfRule>
  </conditionalFormatting>
  <conditionalFormatting sqref="E44">
    <cfRule type="containsText" dxfId="570" priority="6" operator="containsText" text="WEB SERVICE">
      <formula>NOT(ISERROR(SEARCH("WEB SERVICE",E44)))</formula>
    </cfRule>
    <cfRule type="containsText" dxfId="569" priority="7" operator="containsText" text="DB">
      <formula>NOT(ISERROR(SEARCH("DB",E44)))</formula>
    </cfRule>
  </conditionalFormatting>
  <conditionalFormatting sqref="C44">
    <cfRule type="expression" dxfId="568" priority="9">
      <formula>$B44="Dial"</formula>
    </cfRule>
  </conditionalFormatting>
  <conditionalFormatting sqref="C44">
    <cfRule type="expression" dxfId="567" priority="3">
      <formula>$B44="Speak"</formula>
    </cfRule>
  </conditionalFormatting>
  <conditionalFormatting sqref="B19:B29 B31:B35 B42">
    <cfRule type="containsText" dxfId="566" priority="5" operator="containsText" text="Hear">
      <formula>NOT(ISERROR(SEARCH("Hear",B19)))</formula>
    </cfRule>
  </conditionalFormatting>
  <hyperlinks>
    <hyperlink ref="A1" location="'Test Case Overview'!A1" display="Return to Test Case Overview" xr:uid="{00000000-0004-0000-B6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EC8C8517-D596-4552-9472-037D05D77F25}">
            <xm:f>'TC1'!$B8="HANGUP"</xm:f>
            <x14:dxf>
              <font>
                <b/>
                <i val="0"/>
              </font>
            </x14:dxf>
          </x14:cfRule>
          <xm:sqref>C8</xm:sqref>
        </x14:conditionalFormatting>
        <x14:conditionalFormatting xmlns:xm="http://schemas.microsoft.com/office/excel/2006/main">
          <x14:cfRule type="expression" priority="3377" id="{EC8C8517-D596-4552-9472-037D05D77F25}">
            <xm:f>'TC1'!$B14="HANGUP"</xm:f>
            <x14:dxf>
              <font>
                <b/>
                <i val="0"/>
              </font>
            </x14:dxf>
          </x14:cfRule>
          <xm:sqref>C34:C43</xm:sqref>
        </x14:conditionalFormatting>
        <x14:conditionalFormatting xmlns:xm="http://schemas.microsoft.com/office/excel/2006/main">
          <x14:cfRule type="expression" priority="3378" id="{EC8C8517-D596-4552-9472-037D05D77F25}">
            <xm:f>'TC1'!#REF!="HANGUP"</xm:f>
            <x14:dxf>
              <font>
                <b/>
                <i val="0"/>
              </font>
            </x14:dxf>
          </x14:cfRule>
          <xm:sqref>C13:C33</xm:sqref>
        </x14:conditionalFormatting>
        <x14:conditionalFormatting xmlns:xm="http://schemas.microsoft.com/office/excel/2006/main">
          <x14:cfRule type="expression" priority="4615" id="{EC8C8517-D596-4552-9472-037D05D77F25}">
            <xm:f>'TC1'!$B10="HANGUP"</xm:f>
            <x14:dxf>
              <font>
                <b/>
                <i val="0"/>
              </font>
            </x14:dxf>
          </x14:cfRule>
          <xm:sqref>C9:C12</xm:sqref>
        </x14:conditionalFormatting>
      </x14:conditionalFormattings>
    </ext>
  </extLst>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700-000000000000}">
  <sheetPr codeName="Sheet185"/>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TC183</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VLOOKUP(Table257519913140106110151155170178204275[[#This Row],[PEG]],Table1016[#All],2,FALSE)</f>
        <v>#N/A</v>
      </c>
      <c r="D9" s="125"/>
      <c r="E9" s="122" t="e">
        <f>VLOOKUP(Table257519913140106110151155170178204275[[#This Row],[PEG]],Table1016[#All],3,FALSE)</f>
        <v>#N/A</v>
      </c>
    </row>
    <row r="10" spans="1:5">
      <c r="A10" s="114">
        <v>3</v>
      </c>
      <c r="B10" s="110" t="s">
        <v>115</v>
      </c>
      <c r="C10" s="105" t="e">
        <f>VLOOKUP(Table257519913140106110151155170178204275[[#This Row],[PEG]],Table1016[#All],2,FALSE)</f>
        <v>#N/A</v>
      </c>
      <c r="D10" s="125"/>
      <c r="E10" s="122" t="e">
        <f>VLOOKUP(Table257519913140106110151155170178204275[[#This Row],[PEG]],Table1016[#All],3,FALSE)</f>
        <v>#N/A</v>
      </c>
    </row>
    <row r="11" spans="1:5">
      <c r="A11" s="114">
        <v>4</v>
      </c>
      <c r="B11" s="110" t="s">
        <v>115</v>
      </c>
      <c r="C11" s="105" t="e">
        <f>VLOOKUP(Table257519913140106110151155170178204275[[#This Row],[PEG]],Table1016[#All],2,FALSE)</f>
        <v>#N/A</v>
      </c>
      <c r="D11" s="125"/>
      <c r="E11" s="122" t="e">
        <f>VLOOKUP(Table257519913140106110151155170178204275[[#This Row],[PEG]],Table1016[#All],3,FALSE)</f>
        <v>#N/A</v>
      </c>
    </row>
    <row r="12" spans="1:5">
      <c r="A12" s="114">
        <v>5</v>
      </c>
      <c r="B12" s="110" t="s">
        <v>114</v>
      </c>
      <c r="C12" s="105" t="e">
        <f>VLOOKUP(Table257519913140106110151155170178204275[[#This Row],[PEG]],Table1016[#All],2,FALSE)</f>
        <v>#N/A</v>
      </c>
      <c r="D12" s="125"/>
      <c r="E12" s="122" t="e">
        <f>VLOOKUP(Table257519913140106110151155170178204275[[#This Row],[PEG]],Table1016[#All],3,FALSE)</f>
        <v>#N/A</v>
      </c>
    </row>
    <row r="13" spans="1:5">
      <c r="A13" s="114">
        <v>6</v>
      </c>
      <c r="B13" s="110" t="s">
        <v>115</v>
      </c>
      <c r="C13" s="105" t="e">
        <f>VLOOKUP(Table257519913140106110151155170178204275[[#This Row],[PEG]],Table1016[#All],2,FALSE)</f>
        <v>#N/A</v>
      </c>
      <c r="D13" s="125"/>
      <c r="E13" s="122" t="e">
        <f>VLOOKUP(Table257519913140106110151155170178204275[[#This Row],[PEG]],Table1016[#All],3,FALSE)</f>
        <v>#N/A</v>
      </c>
    </row>
    <row r="14" spans="1:5">
      <c r="A14" s="114">
        <v>7</v>
      </c>
      <c r="B14" s="110" t="s">
        <v>114</v>
      </c>
      <c r="C14" s="105" t="e">
        <f>VLOOKUP(Table257519913140106110151155170178204275[[#This Row],[PEG]],Table1016[#All],2,FALSE)</f>
        <v>#N/A</v>
      </c>
      <c r="D14" s="125"/>
      <c r="E14" s="122" t="e">
        <f>VLOOKUP(Table257519913140106110151155170178204275[[#This Row],[PEG]],Table1016[#All],3,FALSE)</f>
        <v>#N/A</v>
      </c>
    </row>
    <row r="15" spans="1:5">
      <c r="A15" s="114">
        <v>8</v>
      </c>
      <c r="B15" s="110" t="s">
        <v>115</v>
      </c>
      <c r="C15" s="105" t="e">
        <f>VLOOKUP(Table257519913140106110151155170178204275[[#This Row],[PEG]],Table1016[#All],2,FALSE)</f>
        <v>#N/A</v>
      </c>
      <c r="D15" s="112"/>
      <c r="E15" s="122" t="e">
        <f>VLOOKUP(Table257519913140106110151155170178204275[[#This Row],[PEG]],Table1016[#All],3,FALSE)</f>
        <v>#N/A</v>
      </c>
    </row>
    <row r="16" spans="1:5">
      <c r="A16" s="114">
        <v>9</v>
      </c>
      <c r="B16" s="110" t="s">
        <v>12</v>
      </c>
      <c r="C16" s="105" t="e">
        <f>VLOOKUP(Table257519913140106110151155170178204275[[#This Row],[PEG]],Table1016[#All],2,FALSE)</f>
        <v>#N/A</v>
      </c>
      <c r="D16" s="112"/>
      <c r="E16" s="122" t="e">
        <f>VLOOKUP(Table257519913140106110151155170178204275[[#This Row],[PEG]],Table1016[#All],3,FALSE)</f>
        <v>#N/A</v>
      </c>
    </row>
    <row r="17" spans="1:5">
      <c r="A17" s="114">
        <v>10</v>
      </c>
      <c r="B17" s="110" t="s">
        <v>12</v>
      </c>
      <c r="C17" s="105" t="e">
        <f>VLOOKUP(Table257519913140106110151155170178204275[[#This Row],[PEG]],Table1016[#All],2,FALSE)</f>
        <v>#N/A</v>
      </c>
      <c r="D17" s="113"/>
      <c r="E17" s="122" t="e">
        <f>VLOOKUP(Table257519913140106110151155170178204275[[#This Row],[PEG]],Table1016[#All],3,FALSE)</f>
        <v>#N/A</v>
      </c>
    </row>
    <row r="18" spans="1:5">
      <c r="A18" s="114">
        <v>11</v>
      </c>
      <c r="B18" s="110" t="s">
        <v>115</v>
      </c>
      <c r="C18" s="105" t="e">
        <f>VLOOKUP(Table257519913140106110151155170178204275[[#This Row],[PEG]],Table1016[#All],2,FALSE)</f>
        <v>#N/A</v>
      </c>
      <c r="D18" s="113"/>
      <c r="E18" s="122" t="e">
        <f>VLOOKUP(Table257519913140106110151155170178204275[[#This Row],[PEG]],Table1016[#All],3,FALSE)</f>
        <v>#N/A</v>
      </c>
    </row>
    <row r="19" spans="1:5">
      <c r="A19" s="114">
        <v>12</v>
      </c>
      <c r="B19" s="110" t="s">
        <v>115</v>
      </c>
      <c r="C19" s="105" t="e">
        <f>VLOOKUP(Table257519913140106110151155170178204275[[#This Row],[PEG]],Table1016[#All],2,FALSE)</f>
        <v>#N/A</v>
      </c>
      <c r="D19" s="113"/>
      <c r="E19" s="122" t="e">
        <f>VLOOKUP(Table257519913140106110151155170178204275[[#This Row],[PEG]],Table1016[#All],3,FALSE)</f>
        <v>#N/A</v>
      </c>
    </row>
    <row r="20" spans="1:5">
      <c r="A20" s="114">
        <v>13</v>
      </c>
      <c r="B20" s="110" t="s">
        <v>114</v>
      </c>
      <c r="C20" s="105" t="e">
        <f>VLOOKUP(Table257519913140106110151155170178204275[[#This Row],[PEG]],Table1016[#All],2,FALSE)</f>
        <v>#N/A</v>
      </c>
      <c r="D20" s="113"/>
      <c r="E20" s="122" t="e">
        <f>VLOOKUP(Table257519913140106110151155170178204275[[#This Row],[PEG]],Table1016[#All],3,FALSE)</f>
        <v>#N/A</v>
      </c>
    </row>
    <row r="21" spans="1:5">
      <c r="A21" s="114">
        <v>14</v>
      </c>
      <c r="B21" s="110" t="s">
        <v>12</v>
      </c>
      <c r="C21" s="105" t="e">
        <f>VLOOKUP(Table257519913140106110151155170178204275[[#This Row],[PEG]],Table1016[#All],2,FALSE)</f>
        <v>#N/A</v>
      </c>
      <c r="D21" s="113"/>
      <c r="E21" s="122" t="e">
        <f>VLOOKUP(Table257519913140106110151155170178204275[[#This Row],[PEG]],Table1016[#All],3,FALSE)</f>
        <v>#N/A</v>
      </c>
    </row>
    <row r="22" spans="1:5">
      <c r="A22" s="114">
        <v>15</v>
      </c>
      <c r="B22" s="110" t="s">
        <v>12</v>
      </c>
      <c r="C22" s="105" t="e">
        <f>VLOOKUP(Table257519913140106110151155170178204275[[#This Row],[PEG]],Table1016[#All],2,FALSE)</f>
        <v>#N/A</v>
      </c>
      <c r="D22" s="113"/>
      <c r="E22" s="122" t="e">
        <f>VLOOKUP(Table257519913140106110151155170178204275[[#This Row],[PEG]],Table1016[#All],3,FALSE)</f>
        <v>#N/A</v>
      </c>
    </row>
    <row r="23" spans="1:5">
      <c r="A23" s="114">
        <v>16</v>
      </c>
      <c r="B23" s="110" t="s">
        <v>115</v>
      </c>
      <c r="C23" s="105" t="e">
        <f>VLOOKUP(Table257519913140106110151155170178204275[[#This Row],[PEG]],Table1016[#All],2,FALSE)</f>
        <v>#N/A</v>
      </c>
      <c r="D23" s="113"/>
      <c r="E23" s="122" t="e">
        <f>VLOOKUP(Table257519913140106110151155170178204275[[#This Row],[PEG]],Table1016[#All],3,FALSE)</f>
        <v>#N/A</v>
      </c>
    </row>
    <row r="24" spans="1:5">
      <c r="A24" s="114">
        <v>17</v>
      </c>
      <c r="B24" s="110" t="s">
        <v>114</v>
      </c>
      <c r="C24" s="105" t="e">
        <f>VLOOKUP(Table257519913140106110151155170178204275[[#This Row],[PEG]],Table1016[#All],2,FALSE)</f>
        <v>#N/A</v>
      </c>
      <c r="D24" s="113"/>
      <c r="E24" s="122" t="e">
        <f>VLOOKUP(Table257519913140106110151155170178204275[[#This Row],[PEG]],Table1016[#All],3,FALSE)</f>
        <v>#N/A</v>
      </c>
    </row>
    <row r="25" spans="1:5">
      <c r="A25" s="114">
        <v>18</v>
      </c>
      <c r="B25" s="110" t="s">
        <v>12</v>
      </c>
      <c r="C25" s="105" t="e">
        <f>VLOOKUP(Table257519913140106110151155170178204275[[#This Row],[PEG]],Table1016[#All],2,FALSE)</f>
        <v>#N/A</v>
      </c>
      <c r="D25" s="113"/>
      <c r="E25" s="122" t="e">
        <f>VLOOKUP(Table257519913140106110151155170178204275[[#This Row],[PEG]],Table1016[#All],3,FALSE)</f>
        <v>#N/A</v>
      </c>
    </row>
    <row r="26" spans="1:5">
      <c r="A26" s="114">
        <v>19</v>
      </c>
      <c r="B26" s="110" t="s">
        <v>12</v>
      </c>
      <c r="C26" s="105" t="e">
        <f>VLOOKUP(Table257519913140106110151155170178204275[[#This Row],[PEG]],Table1016[#All],2,FALSE)</f>
        <v>#N/A</v>
      </c>
      <c r="D26" s="113"/>
      <c r="E26" s="122" t="e">
        <f>VLOOKUP(Table257519913140106110151155170178204275[[#This Row],[PEG]],Table1016[#All],3,FALSE)</f>
        <v>#N/A</v>
      </c>
    </row>
    <row r="27" spans="1:5">
      <c r="A27" s="114">
        <v>20</v>
      </c>
      <c r="B27" s="110" t="s">
        <v>115</v>
      </c>
      <c r="C27" s="105" t="e">
        <f>VLOOKUP(Table257519913140106110151155170178204275[[#This Row],[PEG]],Table1016[#All],2,FALSE)</f>
        <v>#N/A</v>
      </c>
      <c r="D27" s="113"/>
      <c r="E27" s="122" t="e">
        <f>VLOOKUP(Table257519913140106110151155170178204275[[#This Row],[PEG]],Table1016[#All],3,FALSE)</f>
        <v>#N/A</v>
      </c>
    </row>
    <row r="28" spans="1:5">
      <c r="A28" s="114">
        <v>21</v>
      </c>
      <c r="B28" s="110" t="s">
        <v>114</v>
      </c>
      <c r="C28" s="105" t="e">
        <f>VLOOKUP(Table257519913140106110151155170178204275[[#This Row],[PEG]],Table1016[#All],2,FALSE)</f>
        <v>#N/A</v>
      </c>
      <c r="D28" s="113"/>
      <c r="E28" s="122" t="e">
        <f>VLOOKUP(Table257519913140106110151155170178204275[[#This Row],[PEG]],Table1016[#All],3,FALSE)</f>
        <v>#N/A</v>
      </c>
    </row>
    <row r="29" spans="1:5">
      <c r="A29" s="114">
        <v>22</v>
      </c>
      <c r="B29" s="110" t="s">
        <v>12</v>
      </c>
      <c r="C29" s="105" t="e">
        <f>VLOOKUP(Table257519913140106110151155170178204275[[#This Row],[PEG]],Table1016[#All],2,FALSE)</f>
        <v>#N/A</v>
      </c>
      <c r="D29" s="113"/>
      <c r="E29" s="122" t="e">
        <f>VLOOKUP(Table257519913140106110151155170178204275[[#This Row],[PEG]],Table1016[#All],3,FALSE)</f>
        <v>#N/A</v>
      </c>
    </row>
    <row r="30" spans="1:5">
      <c r="A30" s="114">
        <v>23</v>
      </c>
      <c r="B30" s="110" t="s">
        <v>12</v>
      </c>
      <c r="C30" s="105" t="e">
        <f>VLOOKUP(Table257519913140106110151155170178204275[[#This Row],[PEG]],Table1016[#All],2,FALSE)</f>
        <v>#N/A</v>
      </c>
      <c r="D30" s="113"/>
      <c r="E30" s="122" t="e">
        <f>VLOOKUP(Table257519913140106110151155170178204275[[#This Row],[PEG]],Table1016[#All],3,FALSE)</f>
        <v>#N/A</v>
      </c>
    </row>
    <row r="31" spans="1:5">
      <c r="A31" s="114">
        <v>24</v>
      </c>
      <c r="B31" s="110" t="s">
        <v>115</v>
      </c>
      <c r="C31" s="105" t="e">
        <f>VLOOKUP(Table257519913140106110151155170178204275[[#This Row],[PEG]],Table1016[#All],2,FALSE)</f>
        <v>#N/A</v>
      </c>
      <c r="D31" s="113"/>
      <c r="E31" s="122" t="e">
        <f>VLOOKUP(Table257519913140106110151155170178204275[[#This Row],[PEG]],Table1016[#All],3,FALSE)</f>
        <v>#N/A</v>
      </c>
    </row>
    <row r="32" spans="1:5">
      <c r="A32" s="114">
        <v>25</v>
      </c>
      <c r="B32" s="110" t="s">
        <v>115</v>
      </c>
      <c r="C32" s="105" t="e">
        <f>VLOOKUP(Table257519913140106110151155170178204275[[#This Row],[PEG]],Table1016[#All],2,FALSE)</f>
        <v>#N/A</v>
      </c>
      <c r="D32" s="113"/>
      <c r="E32" s="122" t="e">
        <f>VLOOKUP(Table257519913140106110151155170178204275[[#This Row],[PEG]],Table1016[#All],3,FALSE)</f>
        <v>#N/A</v>
      </c>
    </row>
    <row r="33" spans="1:5">
      <c r="A33" s="114">
        <v>26</v>
      </c>
      <c r="B33" s="110" t="s">
        <v>124</v>
      </c>
      <c r="C33" s="105" t="e">
        <f>VLOOKUP(Table257519913140106110151155170178204275[[#This Row],[PEG]],Table1016[#All],2,FALSE)</f>
        <v>#N/A</v>
      </c>
      <c r="D33" s="113"/>
      <c r="E33" s="122" t="e">
        <f>VLOOKUP(Table257519913140106110151155170178204275[[#This Row],[PEG]],Table1016[#All],3,FALSE)</f>
        <v>#N/A</v>
      </c>
    </row>
    <row r="34" spans="1:5">
      <c r="A34" s="114">
        <v>27</v>
      </c>
      <c r="B34" s="110" t="s">
        <v>115</v>
      </c>
      <c r="C34" s="105" t="e">
        <f>VLOOKUP(Table257519913140106110151155170178204275[[#This Row],[PEG]],Table1016[#All],2,FALSE)</f>
        <v>#N/A</v>
      </c>
      <c r="D34" s="113"/>
      <c r="E34" s="122" t="e">
        <f>VLOOKUP(Table257519913140106110151155170178204275[[#This Row],[PEG]],Table1016[#All],3,FALSE)</f>
        <v>#N/A</v>
      </c>
    </row>
    <row r="35" spans="1:5">
      <c r="A35" s="114">
        <v>28</v>
      </c>
      <c r="B35" s="110" t="s">
        <v>124</v>
      </c>
      <c r="C35" s="105" t="e">
        <f>VLOOKUP(Table257519913140106110151155170178204275[[#This Row],[PEG]],Table1016[#All],2,FALSE)</f>
        <v>#N/A</v>
      </c>
      <c r="D35" s="113"/>
      <c r="E35" s="122" t="e">
        <f>VLOOKUP(Table257519913140106110151155170178204275[[#This Row],[PEG]],Table1016[#All],3,FALSE)</f>
        <v>#N/A</v>
      </c>
    </row>
    <row r="36" spans="1:5">
      <c r="A36" s="114">
        <v>29</v>
      </c>
      <c r="B36" s="110" t="s">
        <v>115</v>
      </c>
      <c r="C36" s="105" t="e">
        <f>VLOOKUP(Table257519913140106110151155170178204275[[#This Row],[PEG]],Table1016[#All],2,FALSE)</f>
        <v>#N/A</v>
      </c>
      <c r="D36" s="113"/>
      <c r="E36" s="122" t="e">
        <f>VLOOKUP(Table257519913140106110151155170178204275[[#This Row],[PEG]],Table1016[#All],3,FALSE)</f>
        <v>#N/A</v>
      </c>
    </row>
    <row r="37" spans="1:5">
      <c r="A37" s="114">
        <v>30</v>
      </c>
      <c r="B37" s="110" t="s">
        <v>12</v>
      </c>
      <c r="C37" s="105" t="e">
        <f>VLOOKUP(Table257519913140106110151155170178204275[[#This Row],[PEG]],Table1016[#All],2,FALSE)</f>
        <v>#N/A</v>
      </c>
      <c r="D37" s="113"/>
      <c r="E37" s="122" t="e">
        <f>VLOOKUP(Table257519913140106110151155170178204275[[#This Row],[PEG]],Table1016[#All],3,FALSE)</f>
        <v>#N/A</v>
      </c>
    </row>
    <row r="38" spans="1:5">
      <c r="A38" s="114">
        <v>31</v>
      </c>
      <c r="B38" s="110" t="s">
        <v>12</v>
      </c>
      <c r="C38" s="105" t="e">
        <f>VLOOKUP(Table257519913140106110151155170178204275[[#This Row],[PEG]],Table1016[#All],2,FALSE)</f>
        <v>#N/A</v>
      </c>
      <c r="D38" s="113"/>
      <c r="E38" s="122" t="e">
        <f>VLOOKUP(Table257519913140106110151155170178204275[[#This Row],[PEG]],Table1016[#All],3,FALSE)</f>
        <v>#N/A</v>
      </c>
    </row>
    <row r="39" spans="1:5">
      <c r="A39" s="114">
        <v>32</v>
      </c>
      <c r="B39" s="110" t="s">
        <v>12</v>
      </c>
      <c r="C39" s="105" t="e">
        <f>VLOOKUP(Table257519913140106110151155170178204275[[#This Row],[PEG]],Table1016[#All],2,FALSE)</f>
        <v>#N/A</v>
      </c>
      <c r="D39" s="113"/>
      <c r="E39" s="122" t="e">
        <f>VLOOKUP(Table257519913140106110151155170178204275[[#This Row],[PEG]],Table1016[#All],3,FALSE)</f>
        <v>#N/A</v>
      </c>
    </row>
    <row r="40" spans="1:5">
      <c r="A40" s="114">
        <v>33</v>
      </c>
      <c r="B40" s="110" t="s">
        <v>12</v>
      </c>
      <c r="C40" s="105" t="e">
        <f>VLOOKUP(Table257519913140106110151155170178204275[[#This Row],[PEG]],Table1016[#All],2,FALSE)</f>
        <v>#N/A</v>
      </c>
      <c r="D40" s="113"/>
      <c r="E40" s="122" t="e">
        <f>VLOOKUP(Table257519913140106110151155170178204275[[#This Row],[PEG]],Table1016[#All],3,FALSE)</f>
        <v>#N/A</v>
      </c>
    </row>
    <row r="41" spans="1:5">
      <c r="A41" s="114">
        <v>34</v>
      </c>
      <c r="B41" s="110" t="s">
        <v>115</v>
      </c>
      <c r="C41" s="105" t="e">
        <f>VLOOKUP(Table257519913140106110151155170178204275[[#This Row],[PEG]],Table1016[#All],2,FALSE)</f>
        <v>#N/A</v>
      </c>
      <c r="D41" s="113"/>
      <c r="E41" s="122" t="e">
        <f>VLOOKUP(Table257519913140106110151155170178204275[[#This Row],[PEG]],Table1016[#All],3,FALSE)</f>
        <v>#N/A</v>
      </c>
    </row>
    <row r="42" spans="1:5">
      <c r="A42" s="114">
        <v>35</v>
      </c>
      <c r="B42" s="110" t="s">
        <v>12</v>
      </c>
      <c r="C42" s="105" t="e">
        <f>VLOOKUP(Table257519913140106110151155170178204275[[#This Row],[PEG]],Table1016[#All],2,FALSE)</f>
        <v>#N/A</v>
      </c>
      <c r="D42" s="111"/>
      <c r="E42" s="122" t="e">
        <f>VLOOKUP(Table257519913140106110151155170178204275[[#This Row],[PEG]],Table1016[#All],3,FALSE)</f>
        <v>#N/A</v>
      </c>
    </row>
    <row r="43" spans="1:5">
      <c r="A43" s="114">
        <v>36</v>
      </c>
      <c r="B43" s="110" t="s">
        <v>115</v>
      </c>
      <c r="C43" s="105" t="e">
        <f>VLOOKUP(Table257519913140106110151155170178204275[[#This Row],[PEG]],Table1016[#All],2,FALSE)</f>
        <v>#N/A</v>
      </c>
      <c r="D43" s="111"/>
      <c r="E43" s="122" t="e">
        <f>VLOOKUP(Table257519913140106110151155170178204275[[#This Row],[PEG]],Table1016[#All],3,FALSE)</f>
        <v>#N/A</v>
      </c>
    </row>
    <row r="44" spans="1:5">
      <c r="A44" s="114">
        <v>37</v>
      </c>
      <c r="B44" s="110" t="s">
        <v>13</v>
      </c>
      <c r="C44" s="17" t="s">
        <v>13</v>
      </c>
      <c r="D44" s="111"/>
      <c r="E44" s="31"/>
    </row>
  </sheetData>
  <mergeCells count="1">
    <mergeCell ref="A1:B1"/>
  </mergeCells>
  <conditionalFormatting sqref="B8:B18">
    <cfRule type="containsText" dxfId="552" priority="1" operator="containsText" text="Hear">
      <formula>NOT(ISERROR(SEARCH("Hear",B8)))</formula>
    </cfRule>
  </conditionalFormatting>
  <conditionalFormatting sqref="B30">
    <cfRule type="containsText" dxfId="551" priority="4" operator="containsText" text="Hear">
      <formula>NOT(ISERROR(SEARCH("Hear",B30)))</formula>
    </cfRule>
  </conditionalFormatting>
  <conditionalFormatting sqref="B43:B44">
    <cfRule type="containsText" dxfId="550" priority="8" operator="containsText" text="Hear">
      <formula>NOT(ISERROR(SEARCH("Hear",B43)))</formula>
    </cfRule>
  </conditionalFormatting>
  <conditionalFormatting sqref="E44">
    <cfRule type="containsText" dxfId="549" priority="6" operator="containsText" text="WEB SERVICE">
      <formula>NOT(ISERROR(SEARCH("WEB SERVICE",E44)))</formula>
    </cfRule>
    <cfRule type="containsText" dxfId="548" priority="7" operator="containsText" text="DB">
      <formula>NOT(ISERROR(SEARCH("DB",E44)))</formula>
    </cfRule>
  </conditionalFormatting>
  <conditionalFormatting sqref="C44">
    <cfRule type="expression" dxfId="547" priority="9">
      <formula>$B44="Dial"</formula>
    </cfRule>
  </conditionalFormatting>
  <conditionalFormatting sqref="C44">
    <cfRule type="expression" dxfId="546" priority="3">
      <formula>$B44="Speak"</formula>
    </cfRule>
  </conditionalFormatting>
  <conditionalFormatting sqref="B19:B29 B31:B35 B42">
    <cfRule type="containsText" dxfId="545" priority="5" operator="containsText" text="Hear">
      <formula>NOT(ISERROR(SEARCH("Hear",B19)))</formula>
    </cfRule>
  </conditionalFormatting>
  <hyperlinks>
    <hyperlink ref="A1" location="'Test Case Overview'!A1" display="Return to Test Case Overview" xr:uid="{00000000-0004-0000-B7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1BA13CE0-A429-420B-AD13-59A9F8B06CB1}">
            <xm:f>'TC1'!$B8="HANGUP"</xm:f>
            <x14:dxf>
              <font>
                <b/>
                <i val="0"/>
              </font>
            </x14:dxf>
          </x14:cfRule>
          <xm:sqref>C8</xm:sqref>
        </x14:conditionalFormatting>
        <x14:conditionalFormatting xmlns:xm="http://schemas.microsoft.com/office/excel/2006/main">
          <x14:cfRule type="expression" priority="3381" id="{1BA13CE0-A429-420B-AD13-59A9F8B06CB1}">
            <xm:f>'TC1'!$B14="HANGUP"</xm:f>
            <x14:dxf>
              <font>
                <b/>
                <i val="0"/>
              </font>
            </x14:dxf>
          </x14:cfRule>
          <xm:sqref>C34:C43</xm:sqref>
        </x14:conditionalFormatting>
        <x14:conditionalFormatting xmlns:xm="http://schemas.microsoft.com/office/excel/2006/main">
          <x14:cfRule type="expression" priority="3382" id="{1BA13CE0-A429-420B-AD13-59A9F8B06CB1}">
            <xm:f>'TC1'!#REF!="HANGUP"</xm:f>
            <x14:dxf>
              <font>
                <b/>
                <i val="0"/>
              </font>
            </x14:dxf>
          </x14:cfRule>
          <xm:sqref>C13:C33</xm:sqref>
        </x14:conditionalFormatting>
        <x14:conditionalFormatting xmlns:xm="http://schemas.microsoft.com/office/excel/2006/main">
          <x14:cfRule type="expression" priority="4617" id="{1BA13CE0-A429-420B-AD13-59A9F8B06CB1}">
            <xm:f>'TC1'!$B10="HANGUP"</xm:f>
            <x14:dxf>
              <font>
                <b/>
                <i val="0"/>
              </font>
            </x14:dxf>
          </x14:cfRule>
          <xm:sqref>C9:C12</xm:sqref>
        </x14:conditionalFormatting>
      </x14:conditionalFormattings>
    </ext>
  </extLst>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800-000000000000}">
  <sheetPr codeName="Sheet186"/>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TC184</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VLOOKUP(Table257519913140106110151155170178204277[[#This Row],[PEG]],Table1016[#All],2,FALSE)</f>
        <v>#N/A</v>
      </c>
      <c r="D9" s="125"/>
      <c r="E9" s="122" t="e">
        <f>VLOOKUP(Table257519913140106110151155170178204277[[#This Row],[PEG]],Table1016[#All],3,FALSE)</f>
        <v>#N/A</v>
      </c>
    </row>
    <row r="10" spans="1:5">
      <c r="A10" s="114">
        <v>3</v>
      </c>
      <c r="B10" s="110" t="s">
        <v>115</v>
      </c>
      <c r="C10" s="105" t="e">
        <f>VLOOKUP(Table257519913140106110151155170178204277[[#This Row],[PEG]],Table1016[#All],2,FALSE)</f>
        <v>#N/A</v>
      </c>
      <c r="D10" s="125"/>
      <c r="E10" s="122" t="e">
        <f>VLOOKUP(Table257519913140106110151155170178204277[[#This Row],[PEG]],Table1016[#All],3,FALSE)</f>
        <v>#N/A</v>
      </c>
    </row>
    <row r="11" spans="1:5">
      <c r="A11" s="114">
        <v>4</v>
      </c>
      <c r="B11" s="110" t="s">
        <v>115</v>
      </c>
      <c r="C11" s="105" t="e">
        <f>VLOOKUP(Table257519913140106110151155170178204277[[#This Row],[PEG]],Table1016[#All],2,FALSE)</f>
        <v>#N/A</v>
      </c>
      <c r="D11" s="125"/>
      <c r="E11" s="122" t="e">
        <f>VLOOKUP(Table257519913140106110151155170178204277[[#This Row],[PEG]],Table1016[#All],3,FALSE)</f>
        <v>#N/A</v>
      </c>
    </row>
    <row r="12" spans="1:5">
      <c r="A12" s="114">
        <v>5</v>
      </c>
      <c r="B12" s="110" t="s">
        <v>114</v>
      </c>
      <c r="C12" s="105" t="e">
        <f>VLOOKUP(Table257519913140106110151155170178204277[[#This Row],[PEG]],Table1016[#All],2,FALSE)</f>
        <v>#N/A</v>
      </c>
      <c r="D12" s="125"/>
      <c r="E12" s="122" t="e">
        <f>VLOOKUP(Table257519913140106110151155170178204277[[#This Row],[PEG]],Table1016[#All],3,FALSE)</f>
        <v>#N/A</v>
      </c>
    </row>
    <row r="13" spans="1:5">
      <c r="A13" s="114">
        <v>6</v>
      </c>
      <c r="B13" s="110" t="s">
        <v>115</v>
      </c>
      <c r="C13" s="105" t="e">
        <f>VLOOKUP(Table257519913140106110151155170178204277[[#This Row],[PEG]],Table1016[#All],2,FALSE)</f>
        <v>#N/A</v>
      </c>
      <c r="D13" s="125"/>
      <c r="E13" s="122" t="e">
        <f>VLOOKUP(Table257519913140106110151155170178204277[[#This Row],[PEG]],Table1016[#All],3,FALSE)</f>
        <v>#N/A</v>
      </c>
    </row>
    <row r="14" spans="1:5">
      <c r="A14" s="114">
        <v>7</v>
      </c>
      <c r="B14" s="110" t="s">
        <v>114</v>
      </c>
      <c r="C14" s="105" t="e">
        <f>VLOOKUP(Table257519913140106110151155170178204277[[#This Row],[PEG]],Table1016[#All],2,FALSE)</f>
        <v>#N/A</v>
      </c>
      <c r="D14" s="125"/>
      <c r="E14" s="122" t="e">
        <f>VLOOKUP(Table257519913140106110151155170178204277[[#This Row],[PEG]],Table1016[#All],3,FALSE)</f>
        <v>#N/A</v>
      </c>
    </row>
    <row r="15" spans="1:5">
      <c r="A15" s="114">
        <v>8</v>
      </c>
      <c r="B15" s="110" t="s">
        <v>115</v>
      </c>
      <c r="C15" s="105" t="e">
        <f>VLOOKUP(Table257519913140106110151155170178204277[[#This Row],[PEG]],Table1016[#All],2,FALSE)</f>
        <v>#N/A</v>
      </c>
      <c r="D15" s="112"/>
      <c r="E15" s="122" t="e">
        <f>VLOOKUP(Table257519913140106110151155170178204277[[#This Row],[PEG]],Table1016[#All],3,FALSE)</f>
        <v>#N/A</v>
      </c>
    </row>
    <row r="16" spans="1:5">
      <c r="A16" s="114">
        <v>9</v>
      </c>
      <c r="B16" s="110" t="s">
        <v>12</v>
      </c>
      <c r="C16" s="105" t="e">
        <f>VLOOKUP(Table257519913140106110151155170178204277[[#This Row],[PEG]],Table1016[#All],2,FALSE)</f>
        <v>#N/A</v>
      </c>
      <c r="D16" s="112"/>
      <c r="E16" s="122" t="e">
        <f>VLOOKUP(Table257519913140106110151155170178204277[[#This Row],[PEG]],Table1016[#All],3,FALSE)</f>
        <v>#N/A</v>
      </c>
    </row>
    <row r="17" spans="1:5">
      <c r="A17" s="114">
        <v>10</v>
      </c>
      <c r="B17" s="110" t="s">
        <v>12</v>
      </c>
      <c r="C17" s="105" t="e">
        <f>VLOOKUP(Table257519913140106110151155170178204277[[#This Row],[PEG]],Table1016[#All],2,FALSE)</f>
        <v>#N/A</v>
      </c>
      <c r="D17" s="113"/>
      <c r="E17" s="122" t="e">
        <f>VLOOKUP(Table257519913140106110151155170178204277[[#This Row],[PEG]],Table1016[#All],3,FALSE)</f>
        <v>#N/A</v>
      </c>
    </row>
    <row r="18" spans="1:5">
      <c r="A18" s="114">
        <v>11</v>
      </c>
      <c r="B18" s="110" t="s">
        <v>115</v>
      </c>
      <c r="C18" s="105" t="e">
        <f>VLOOKUP(Table257519913140106110151155170178204277[[#This Row],[PEG]],Table1016[#All],2,FALSE)</f>
        <v>#N/A</v>
      </c>
      <c r="D18" s="113"/>
      <c r="E18" s="122" t="e">
        <f>VLOOKUP(Table257519913140106110151155170178204277[[#This Row],[PEG]],Table1016[#All],3,FALSE)</f>
        <v>#N/A</v>
      </c>
    </row>
    <row r="19" spans="1:5">
      <c r="A19" s="114">
        <v>12</v>
      </c>
      <c r="B19" s="110" t="s">
        <v>115</v>
      </c>
      <c r="C19" s="105" t="e">
        <f>VLOOKUP(Table257519913140106110151155170178204277[[#This Row],[PEG]],Table1016[#All],2,FALSE)</f>
        <v>#N/A</v>
      </c>
      <c r="D19" s="113"/>
      <c r="E19" s="122" t="e">
        <f>VLOOKUP(Table257519913140106110151155170178204277[[#This Row],[PEG]],Table1016[#All],3,FALSE)</f>
        <v>#N/A</v>
      </c>
    </row>
    <row r="20" spans="1:5">
      <c r="A20" s="114">
        <v>13</v>
      </c>
      <c r="B20" s="110" t="s">
        <v>114</v>
      </c>
      <c r="C20" s="105" t="e">
        <f>VLOOKUP(Table257519913140106110151155170178204277[[#This Row],[PEG]],Table1016[#All],2,FALSE)</f>
        <v>#N/A</v>
      </c>
      <c r="D20" s="113"/>
      <c r="E20" s="122" t="e">
        <f>VLOOKUP(Table257519913140106110151155170178204277[[#This Row],[PEG]],Table1016[#All],3,FALSE)</f>
        <v>#N/A</v>
      </c>
    </row>
    <row r="21" spans="1:5">
      <c r="A21" s="114">
        <v>14</v>
      </c>
      <c r="B21" s="110" t="s">
        <v>12</v>
      </c>
      <c r="C21" s="105" t="e">
        <f>VLOOKUP(Table257519913140106110151155170178204277[[#This Row],[PEG]],Table1016[#All],2,FALSE)</f>
        <v>#N/A</v>
      </c>
      <c r="D21" s="113"/>
      <c r="E21" s="122" t="e">
        <f>VLOOKUP(Table257519913140106110151155170178204277[[#This Row],[PEG]],Table1016[#All],3,FALSE)</f>
        <v>#N/A</v>
      </c>
    </row>
    <row r="22" spans="1:5">
      <c r="A22" s="114">
        <v>15</v>
      </c>
      <c r="B22" s="110" t="s">
        <v>12</v>
      </c>
      <c r="C22" s="105" t="e">
        <f>VLOOKUP(Table257519913140106110151155170178204277[[#This Row],[PEG]],Table1016[#All],2,FALSE)</f>
        <v>#N/A</v>
      </c>
      <c r="D22" s="113"/>
      <c r="E22" s="122" t="e">
        <f>VLOOKUP(Table257519913140106110151155170178204277[[#This Row],[PEG]],Table1016[#All],3,FALSE)</f>
        <v>#N/A</v>
      </c>
    </row>
    <row r="23" spans="1:5">
      <c r="A23" s="114">
        <v>16</v>
      </c>
      <c r="B23" s="110" t="s">
        <v>115</v>
      </c>
      <c r="C23" s="105" t="e">
        <f>VLOOKUP(Table257519913140106110151155170178204277[[#This Row],[PEG]],Table1016[#All],2,FALSE)</f>
        <v>#N/A</v>
      </c>
      <c r="D23" s="113"/>
      <c r="E23" s="122" t="e">
        <f>VLOOKUP(Table257519913140106110151155170178204277[[#This Row],[PEG]],Table1016[#All],3,FALSE)</f>
        <v>#N/A</v>
      </c>
    </row>
    <row r="24" spans="1:5">
      <c r="A24" s="114">
        <v>17</v>
      </c>
      <c r="B24" s="110" t="s">
        <v>114</v>
      </c>
      <c r="C24" s="105" t="e">
        <f>VLOOKUP(Table257519913140106110151155170178204277[[#This Row],[PEG]],Table1016[#All],2,FALSE)</f>
        <v>#N/A</v>
      </c>
      <c r="D24" s="113"/>
      <c r="E24" s="122" t="e">
        <f>VLOOKUP(Table257519913140106110151155170178204277[[#This Row],[PEG]],Table1016[#All],3,FALSE)</f>
        <v>#N/A</v>
      </c>
    </row>
    <row r="25" spans="1:5">
      <c r="A25" s="114">
        <v>18</v>
      </c>
      <c r="B25" s="110" t="s">
        <v>12</v>
      </c>
      <c r="C25" s="105" t="e">
        <f>VLOOKUP(Table257519913140106110151155170178204277[[#This Row],[PEG]],Table1016[#All],2,FALSE)</f>
        <v>#N/A</v>
      </c>
      <c r="D25" s="113"/>
      <c r="E25" s="122" t="e">
        <f>VLOOKUP(Table257519913140106110151155170178204277[[#This Row],[PEG]],Table1016[#All],3,FALSE)</f>
        <v>#N/A</v>
      </c>
    </row>
    <row r="26" spans="1:5">
      <c r="A26" s="114">
        <v>19</v>
      </c>
      <c r="B26" s="110" t="s">
        <v>12</v>
      </c>
      <c r="C26" s="105" t="e">
        <f>VLOOKUP(Table257519913140106110151155170178204277[[#This Row],[PEG]],Table1016[#All],2,FALSE)</f>
        <v>#N/A</v>
      </c>
      <c r="D26" s="113"/>
      <c r="E26" s="122" t="e">
        <f>VLOOKUP(Table257519913140106110151155170178204277[[#This Row],[PEG]],Table1016[#All],3,FALSE)</f>
        <v>#N/A</v>
      </c>
    </row>
    <row r="27" spans="1:5">
      <c r="A27" s="114">
        <v>20</v>
      </c>
      <c r="B27" s="110" t="s">
        <v>115</v>
      </c>
      <c r="C27" s="105" t="e">
        <f>VLOOKUP(Table257519913140106110151155170178204277[[#This Row],[PEG]],Table1016[#All],2,FALSE)</f>
        <v>#N/A</v>
      </c>
      <c r="D27" s="113"/>
      <c r="E27" s="122" t="e">
        <f>VLOOKUP(Table257519913140106110151155170178204277[[#This Row],[PEG]],Table1016[#All],3,FALSE)</f>
        <v>#N/A</v>
      </c>
    </row>
    <row r="28" spans="1:5">
      <c r="A28" s="114">
        <v>21</v>
      </c>
      <c r="B28" s="110" t="s">
        <v>114</v>
      </c>
      <c r="C28" s="105" t="e">
        <f>VLOOKUP(Table257519913140106110151155170178204277[[#This Row],[PEG]],Table1016[#All],2,FALSE)</f>
        <v>#N/A</v>
      </c>
      <c r="D28" s="113"/>
      <c r="E28" s="122" t="e">
        <f>VLOOKUP(Table257519913140106110151155170178204277[[#This Row],[PEG]],Table1016[#All],3,FALSE)</f>
        <v>#N/A</v>
      </c>
    </row>
    <row r="29" spans="1:5">
      <c r="A29" s="114">
        <v>22</v>
      </c>
      <c r="B29" s="110" t="s">
        <v>12</v>
      </c>
      <c r="C29" s="105" t="e">
        <f>VLOOKUP(Table257519913140106110151155170178204277[[#This Row],[PEG]],Table1016[#All],2,FALSE)</f>
        <v>#N/A</v>
      </c>
      <c r="D29" s="113"/>
      <c r="E29" s="122" t="e">
        <f>VLOOKUP(Table257519913140106110151155170178204277[[#This Row],[PEG]],Table1016[#All],3,FALSE)</f>
        <v>#N/A</v>
      </c>
    </row>
    <row r="30" spans="1:5">
      <c r="A30" s="114">
        <v>23</v>
      </c>
      <c r="B30" s="110" t="s">
        <v>12</v>
      </c>
      <c r="C30" s="105" t="e">
        <f>VLOOKUP(Table257519913140106110151155170178204277[[#This Row],[PEG]],Table1016[#All],2,FALSE)</f>
        <v>#N/A</v>
      </c>
      <c r="D30" s="113"/>
      <c r="E30" s="122" t="e">
        <f>VLOOKUP(Table257519913140106110151155170178204277[[#This Row],[PEG]],Table1016[#All],3,FALSE)</f>
        <v>#N/A</v>
      </c>
    </row>
    <row r="31" spans="1:5">
      <c r="A31" s="114">
        <v>24</v>
      </c>
      <c r="B31" s="110" t="s">
        <v>115</v>
      </c>
      <c r="C31" s="105" t="e">
        <f>VLOOKUP(Table257519913140106110151155170178204277[[#This Row],[PEG]],Table1016[#All],2,FALSE)</f>
        <v>#N/A</v>
      </c>
      <c r="D31" s="113"/>
      <c r="E31" s="122" t="e">
        <f>VLOOKUP(Table257519913140106110151155170178204277[[#This Row],[PEG]],Table1016[#All],3,FALSE)</f>
        <v>#N/A</v>
      </c>
    </row>
    <row r="32" spans="1:5">
      <c r="A32" s="114">
        <v>25</v>
      </c>
      <c r="B32" s="110" t="s">
        <v>115</v>
      </c>
      <c r="C32" s="105" t="e">
        <f>VLOOKUP(Table257519913140106110151155170178204277[[#This Row],[PEG]],Table1016[#All],2,FALSE)</f>
        <v>#N/A</v>
      </c>
      <c r="D32" s="113"/>
      <c r="E32" s="122" t="e">
        <f>VLOOKUP(Table257519913140106110151155170178204277[[#This Row],[PEG]],Table1016[#All],3,FALSE)</f>
        <v>#N/A</v>
      </c>
    </row>
    <row r="33" spans="1:5">
      <c r="A33" s="114">
        <v>26</v>
      </c>
      <c r="B33" s="110" t="s">
        <v>124</v>
      </c>
      <c r="C33" s="105" t="e">
        <f>VLOOKUP(Table257519913140106110151155170178204277[[#This Row],[PEG]],Table1016[#All],2,FALSE)</f>
        <v>#N/A</v>
      </c>
      <c r="D33" s="113"/>
      <c r="E33" s="122" t="e">
        <f>VLOOKUP(Table257519913140106110151155170178204277[[#This Row],[PEG]],Table1016[#All],3,FALSE)</f>
        <v>#N/A</v>
      </c>
    </row>
    <row r="34" spans="1:5">
      <c r="A34" s="114">
        <v>27</v>
      </c>
      <c r="B34" s="110" t="s">
        <v>115</v>
      </c>
      <c r="C34" s="105" t="e">
        <f>VLOOKUP(Table257519913140106110151155170178204277[[#This Row],[PEG]],Table1016[#All],2,FALSE)</f>
        <v>#N/A</v>
      </c>
      <c r="D34" s="113"/>
      <c r="E34" s="122" t="e">
        <f>VLOOKUP(Table257519913140106110151155170178204277[[#This Row],[PEG]],Table1016[#All],3,FALSE)</f>
        <v>#N/A</v>
      </c>
    </row>
    <row r="35" spans="1:5">
      <c r="A35" s="114">
        <v>28</v>
      </c>
      <c r="B35" s="110" t="s">
        <v>124</v>
      </c>
      <c r="C35" s="105" t="e">
        <f>VLOOKUP(Table257519913140106110151155170178204277[[#This Row],[PEG]],Table1016[#All],2,FALSE)</f>
        <v>#N/A</v>
      </c>
      <c r="D35" s="113"/>
      <c r="E35" s="122" t="e">
        <f>VLOOKUP(Table257519913140106110151155170178204277[[#This Row],[PEG]],Table1016[#All],3,FALSE)</f>
        <v>#N/A</v>
      </c>
    </row>
    <row r="36" spans="1:5">
      <c r="A36" s="114">
        <v>29</v>
      </c>
      <c r="B36" s="110" t="s">
        <v>115</v>
      </c>
      <c r="C36" s="105" t="e">
        <f>VLOOKUP(Table257519913140106110151155170178204277[[#This Row],[PEG]],Table1016[#All],2,FALSE)</f>
        <v>#N/A</v>
      </c>
      <c r="D36" s="113"/>
      <c r="E36" s="122" t="e">
        <f>VLOOKUP(Table257519913140106110151155170178204277[[#This Row],[PEG]],Table1016[#All],3,FALSE)</f>
        <v>#N/A</v>
      </c>
    </row>
    <row r="37" spans="1:5">
      <c r="A37" s="114">
        <v>30</v>
      </c>
      <c r="B37" s="110" t="s">
        <v>12</v>
      </c>
      <c r="C37" s="105" t="e">
        <f>VLOOKUP(Table257519913140106110151155170178204277[[#This Row],[PEG]],Table1016[#All],2,FALSE)</f>
        <v>#N/A</v>
      </c>
      <c r="D37" s="113"/>
      <c r="E37" s="122" t="e">
        <f>VLOOKUP(Table257519913140106110151155170178204277[[#This Row],[PEG]],Table1016[#All],3,FALSE)</f>
        <v>#N/A</v>
      </c>
    </row>
    <row r="38" spans="1:5">
      <c r="A38" s="114">
        <v>31</v>
      </c>
      <c r="B38" s="110" t="s">
        <v>12</v>
      </c>
      <c r="C38" s="105" t="e">
        <f>VLOOKUP(Table257519913140106110151155170178204277[[#This Row],[PEG]],Table1016[#All],2,FALSE)</f>
        <v>#N/A</v>
      </c>
      <c r="D38" s="113"/>
      <c r="E38" s="122" t="e">
        <f>VLOOKUP(Table257519913140106110151155170178204277[[#This Row],[PEG]],Table1016[#All],3,FALSE)</f>
        <v>#N/A</v>
      </c>
    </row>
    <row r="39" spans="1:5">
      <c r="A39" s="114">
        <v>32</v>
      </c>
      <c r="B39" s="110" t="s">
        <v>12</v>
      </c>
      <c r="C39" s="105" t="e">
        <f>VLOOKUP(Table257519913140106110151155170178204277[[#This Row],[PEG]],Table1016[#All],2,FALSE)</f>
        <v>#N/A</v>
      </c>
      <c r="D39" s="113"/>
      <c r="E39" s="122" t="e">
        <f>VLOOKUP(Table257519913140106110151155170178204277[[#This Row],[PEG]],Table1016[#All],3,FALSE)</f>
        <v>#N/A</v>
      </c>
    </row>
    <row r="40" spans="1:5">
      <c r="A40" s="114">
        <v>33</v>
      </c>
      <c r="B40" s="110" t="s">
        <v>12</v>
      </c>
      <c r="C40" s="105" t="e">
        <f>VLOOKUP(Table257519913140106110151155170178204277[[#This Row],[PEG]],Table1016[#All],2,FALSE)</f>
        <v>#N/A</v>
      </c>
      <c r="D40" s="113"/>
      <c r="E40" s="122" t="e">
        <f>VLOOKUP(Table257519913140106110151155170178204277[[#This Row],[PEG]],Table1016[#All],3,FALSE)</f>
        <v>#N/A</v>
      </c>
    </row>
    <row r="41" spans="1:5">
      <c r="A41" s="114">
        <v>34</v>
      </c>
      <c r="B41" s="110" t="s">
        <v>115</v>
      </c>
      <c r="C41" s="105" t="e">
        <f>VLOOKUP(Table257519913140106110151155170178204277[[#This Row],[PEG]],Table1016[#All],2,FALSE)</f>
        <v>#N/A</v>
      </c>
      <c r="D41" s="113"/>
      <c r="E41" s="122" t="e">
        <f>VLOOKUP(Table257519913140106110151155170178204277[[#This Row],[PEG]],Table1016[#All],3,FALSE)</f>
        <v>#N/A</v>
      </c>
    </row>
    <row r="42" spans="1:5">
      <c r="A42" s="114">
        <v>35</v>
      </c>
      <c r="B42" s="110" t="s">
        <v>12</v>
      </c>
      <c r="C42" s="105" t="e">
        <f>VLOOKUP(Table257519913140106110151155170178204277[[#This Row],[PEG]],Table1016[#All],2,FALSE)</f>
        <v>#N/A</v>
      </c>
      <c r="D42" s="111"/>
      <c r="E42" s="122" t="e">
        <f>VLOOKUP(Table257519913140106110151155170178204277[[#This Row],[PEG]],Table1016[#All],3,FALSE)</f>
        <v>#N/A</v>
      </c>
    </row>
    <row r="43" spans="1:5">
      <c r="A43" s="114">
        <v>36</v>
      </c>
      <c r="B43" s="110" t="s">
        <v>115</v>
      </c>
      <c r="C43" s="105" t="e">
        <f>VLOOKUP(Table257519913140106110151155170178204277[[#This Row],[PEG]],Table1016[#All],2,FALSE)</f>
        <v>#N/A</v>
      </c>
      <c r="D43" s="111"/>
      <c r="E43" s="122" t="e">
        <f>VLOOKUP(Table257519913140106110151155170178204277[[#This Row],[PEG]],Table1016[#All],3,FALSE)</f>
        <v>#N/A</v>
      </c>
    </row>
    <row r="44" spans="1:5">
      <c r="A44" s="114">
        <v>37</v>
      </c>
      <c r="B44" s="110" t="s">
        <v>13</v>
      </c>
      <c r="C44" s="17" t="s">
        <v>13</v>
      </c>
      <c r="D44" s="111"/>
      <c r="E44" s="31"/>
    </row>
  </sheetData>
  <mergeCells count="1">
    <mergeCell ref="A1:B1"/>
  </mergeCells>
  <conditionalFormatting sqref="B8:B18">
    <cfRule type="containsText" dxfId="531" priority="1" operator="containsText" text="Hear">
      <formula>NOT(ISERROR(SEARCH("Hear",B8)))</formula>
    </cfRule>
  </conditionalFormatting>
  <conditionalFormatting sqref="B30">
    <cfRule type="containsText" dxfId="530" priority="4" operator="containsText" text="Hear">
      <formula>NOT(ISERROR(SEARCH("Hear",B30)))</formula>
    </cfRule>
  </conditionalFormatting>
  <conditionalFormatting sqref="B43:B44">
    <cfRule type="containsText" dxfId="529" priority="8" operator="containsText" text="Hear">
      <formula>NOT(ISERROR(SEARCH("Hear",B43)))</formula>
    </cfRule>
  </conditionalFormatting>
  <conditionalFormatting sqref="E44">
    <cfRule type="containsText" dxfId="528" priority="6" operator="containsText" text="WEB SERVICE">
      <formula>NOT(ISERROR(SEARCH("WEB SERVICE",E44)))</formula>
    </cfRule>
    <cfRule type="containsText" dxfId="527" priority="7" operator="containsText" text="DB">
      <formula>NOT(ISERROR(SEARCH("DB",E44)))</formula>
    </cfRule>
  </conditionalFormatting>
  <conditionalFormatting sqref="C44">
    <cfRule type="expression" dxfId="526" priority="9">
      <formula>$B44="Dial"</formula>
    </cfRule>
  </conditionalFormatting>
  <conditionalFormatting sqref="C44">
    <cfRule type="expression" dxfId="525" priority="3">
      <formula>$B44="Speak"</formula>
    </cfRule>
  </conditionalFormatting>
  <conditionalFormatting sqref="B19:B29 B31:B35 B42">
    <cfRule type="containsText" dxfId="524" priority="5" operator="containsText" text="Hear">
      <formula>NOT(ISERROR(SEARCH("Hear",B19)))</formula>
    </cfRule>
  </conditionalFormatting>
  <hyperlinks>
    <hyperlink ref="A1" location="'Test Case Overview'!A1" display="Return to Test Case Overview" xr:uid="{00000000-0004-0000-B8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58BDF12B-6FC7-4787-A931-E32A13AA1AE2}">
            <xm:f>'TC1'!$B8="HANGUP"</xm:f>
            <x14:dxf>
              <font>
                <b/>
                <i val="0"/>
              </font>
            </x14:dxf>
          </x14:cfRule>
          <xm:sqref>C8</xm:sqref>
        </x14:conditionalFormatting>
        <x14:conditionalFormatting xmlns:xm="http://schemas.microsoft.com/office/excel/2006/main">
          <x14:cfRule type="expression" priority="3385" id="{58BDF12B-6FC7-4787-A931-E32A13AA1AE2}">
            <xm:f>'TC1'!$B14="HANGUP"</xm:f>
            <x14:dxf>
              <font>
                <b/>
                <i val="0"/>
              </font>
            </x14:dxf>
          </x14:cfRule>
          <xm:sqref>C34:C43</xm:sqref>
        </x14:conditionalFormatting>
        <x14:conditionalFormatting xmlns:xm="http://schemas.microsoft.com/office/excel/2006/main">
          <x14:cfRule type="expression" priority="3386" id="{58BDF12B-6FC7-4787-A931-E32A13AA1AE2}">
            <xm:f>'TC1'!#REF!="HANGUP"</xm:f>
            <x14:dxf>
              <font>
                <b/>
                <i val="0"/>
              </font>
            </x14:dxf>
          </x14:cfRule>
          <xm:sqref>C13:C33</xm:sqref>
        </x14:conditionalFormatting>
        <x14:conditionalFormatting xmlns:xm="http://schemas.microsoft.com/office/excel/2006/main">
          <x14:cfRule type="expression" priority="4619" id="{58BDF12B-6FC7-4787-A931-E32A13AA1AE2}">
            <xm:f>'TC1'!$B10="HANGUP"</xm:f>
            <x14:dxf>
              <font>
                <b/>
                <i val="0"/>
              </font>
            </x14:dxf>
          </x14:cfRule>
          <xm:sqref>C9:C12</xm:sqref>
        </x14:conditionalFormatting>
      </x14:conditionalFormattings>
    </ext>
  </extLst>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900-000000000000}">
  <sheetPr codeName="Sheet187"/>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TC185</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VLOOKUP(Table257519913140106110151155170178204279[[#This Row],[PEG]],Table1016[#All],2,FALSE)</f>
        <v>#N/A</v>
      </c>
      <c r="D9" s="125"/>
      <c r="E9" s="122" t="e">
        <f>VLOOKUP(Table257519913140106110151155170178204279[[#This Row],[PEG]],Table1016[#All],3,FALSE)</f>
        <v>#N/A</v>
      </c>
    </row>
    <row r="10" spans="1:5">
      <c r="A10" s="114">
        <v>3</v>
      </c>
      <c r="B10" s="110" t="s">
        <v>115</v>
      </c>
      <c r="C10" s="105" t="e">
        <f>VLOOKUP(Table257519913140106110151155170178204279[[#This Row],[PEG]],Table1016[#All],2,FALSE)</f>
        <v>#N/A</v>
      </c>
      <c r="D10" s="125"/>
      <c r="E10" s="122" t="e">
        <f>VLOOKUP(Table257519913140106110151155170178204279[[#This Row],[PEG]],Table1016[#All],3,FALSE)</f>
        <v>#N/A</v>
      </c>
    </row>
    <row r="11" spans="1:5">
      <c r="A11" s="114">
        <v>4</v>
      </c>
      <c r="B11" s="110" t="s">
        <v>115</v>
      </c>
      <c r="C11" s="105" t="e">
        <f>VLOOKUP(Table257519913140106110151155170178204279[[#This Row],[PEG]],Table1016[#All],2,FALSE)</f>
        <v>#N/A</v>
      </c>
      <c r="D11" s="125"/>
      <c r="E11" s="122" t="e">
        <f>VLOOKUP(Table257519913140106110151155170178204279[[#This Row],[PEG]],Table1016[#All],3,FALSE)</f>
        <v>#N/A</v>
      </c>
    </row>
    <row r="12" spans="1:5">
      <c r="A12" s="114">
        <v>5</v>
      </c>
      <c r="B12" s="110" t="s">
        <v>114</v>
      </c>
      <c r="C12" s="105" t="e">
        <f>VLOOKUP(Table257519913140106110151155170178204279[[#This Row],[PEG]],Table1016[#All],2,FALSE)</f>
        <v>#N/A</v>
      </c>
      <c r="D12" s="125"/>
      <c r="E12" s="122" t="e">
        <f>VLOOKUP(Table257519913140106110151155170178204279[[#This Row],[PEG]],Table1016[#All],3,FALSE)</f>
        <v>#N/A</v>
      </c>
    </row>
    <row r="13" spans="1:5">
      <c r="A13" s="114">
        <v>6</v>
      </c>
      <c r="B13" s="110" t="s">
        <v>115</v>
      </c>
      <c r="C13" s="105" t="e">
        <f>VLOOKUP(Table257519913140106110151155170178204279[[#This Row],[PEG]],Table1016[#All],2,FALSE)</f>
        <v>#N/A</v>
      </c>
      <c r="D13" s="125"/>
      <c r="E13" s="122" t="e">
        <f>VLOOKUP(Table257519913140106110151155170178204279[[#This Row],[PEG]],Table1016[#All],3,FALSE)</f>
        <v>#N/A</v>
      </c>
    </row>
    <row r="14" spans="1:5">
      <c r="A14" s="114">
        <v>7</v>
      </c>
      <c r="B14" s="110" t="s">
        <v>114</v>
      </c>
      <c r="C14" s="105" t="e">
        <f>VLOOKUP(Table257519913140106110151155170178204279[[#This Row],[PEG]],Table1016[#All],2,FALSE)</f>
        <v>#N/A</v>
      </c>
      <c r="D14" s="125"/>
      <c r="E14" s="122" t="e">
        <f>VLOOKUP(Table257519913140106110151155170178204279[[#This Row],[PEG]],Table1016[#All],3,FALSE)</f>
        <v>#N/A</v>
      </c>
    </row>
    <row r="15" spans="1:5">
      <c r="A15" s="114">
        <v>8</v>
      </c>
      <c r="B15" s="110" t="s">
        <v>115</v>
      </c>
      <c r="C15" s="105" t="e">
        <f>VLOOKUP(Table257519913140106110151155170178204279[[#This Row],[PEG]],Table1016[#All],2,FALSE)</f>
        <v>#N/A</v>
      </c>
      <c r="D15" s="112"/>
      <c r="E15" s="122" t="e">
        <f>VLOOKUP(Table257519913140106110151155170178204279[[#This Row],[PEG]],Table1016[#All],3,FALSE)</f>
        <v>#N/A</v>
      </c>
    </row>
    <row r="16" spans="1:5">
      <c r="A16" s="114">
        <v>9</v>
      </c>
      <c r="B16" s="110" t="s">
        <v>12</v>
      </c>
      <c r="C16" s="105" t="e">
        <f>VLOOKUP(Table257519913140106110151155170178204279[[#This Row],[PEG]],Table1016[#All],2,FALSE)</f>
        <v>#N/A</v>
      </c>
      <c r="D16" s="112"/>
      <c r="E16" s="122" t="e">
        <f>VLOOKUP(Table257519913140106110151155170178204279[[#This Row],[PEG]],Table1016[#All],3,FALSE)</f>
        <v>#N/A</v>
      </c>
    </row>
    <row r="17" spans="1:5">
      <c r="A17" s="114">
        <v>10</v>
      </c>
      <c r="B17" s="110" t="s">
        <v>12</v>
      </c>
      <c r="C17" s="105" t="e">
        <f>VLOOKUP(Table257519913140106110151155170178204279[[#This Row],[PEG]],Table1016[#All],2,FALSE)</f>
        <v>#N/A</v>
      </c>
      <c r="D17" s="113"/>
      <c r="E17" s="122" t="e">
        <f>VLOOKUP(Table257519913140106110151155170178204279[[#This Row],[PEG]],Table1016[#All],3,FALSE)</f>
        <v>#N/A</v>
      </c>
    </row>
    <row r="18" spans="1:5">
      <c r="A18" s="114">
        <v>11</v>
      </c>
      <c r="B18" s="110" t="s">
        <v>115</v>
      </c>
      <c r="C18" s="105" t="e">
        <f>VLOOKUP(Table257519913140106110151155170178204279[[#This Row],[PEG]],Table1016[#All],2,FALSE)</f>
        <v>#N/A</v>
      </c>
      <c r="D18" s="113"/>
      <c r="E18" s="122" t="e">
        <f>VLOOKUP(Table257519913140106110151155170178204279[[#This Row],[PEG]],Table1016[#All],3,FALSE)</f>
        <v>#N/A</v>
      </c>
    </row>
    <row r="19" spans="1:5">
      <c r="A19" s="114">
        <v>12</v>
      </c>
      <c r="B19" s="110" t="s">
        <v>115</v>
      </c>
      <c r="C19" s="105" t="e">
        <f>VLOOKUP(Table257519913140106110151155170178204279[[#This Row],[PEG]],Table1016[#All],2,FALSE)</f>
        <v>#N/A</v>
      </c>
      <c r="D19" s="113"/>
      <c r="E19" s="122" t="e">
        <f>VLOOKUP(Table257519913140106110151155170178204279[[#This Row],[PEG]],Table1016[#All],3,FALSE)</f>
        <v>#N/A</v>
      </c>
    </row>
    <row r="20" spans="1:5">
      <c r="A20" s="114">
        <v>13</v>
      </c>
      <c r="B20" s="110" t="s">
        <v>114</v>
      </c>
      <c r="C20" s="105" t="e">
        <f>VLOOKUP(Table257519913140106110151155170178204279[[#This Row],[PEG]],Table1016[#All],2,FALSE)</f>
        <v>#N/A</v>
      </c>
      <c r="D20" s="113"/>
      <c r="E20" s="122" t="e">
        <f>VLOOKUP(Table257519913140106110151155170178204279[[#This Row],[PEG]],Table1016[#All],3,FALSE)</f>
        <v>#N/A</v>
      </c>
    </row>
    <row r="21" spans="1:5">
      <c r="A21" s="114">
        <v>14</v>
      </c>
      <c r="B21" s="110" t="s">
        <v>12</v>
      </c>
      <c r="C21" s="105" t="e">
        <f>VLOOKUP(Table257519913140106110151155170178204279[[#This Row],[PEG]],Table1016[#All],2,FALSE)</f>
        <v>#N/A</v>
      </c>
      <c r="D21" s="113"/>
      <c r="E21" s="122" t="e">
        <f>VLOOKUP(Table257519913140106110151155170178204279[[#This Row],[PEG]],Table1016[#All],3,FALSE)</f>
        <v>#N/A</v>
      </c>
    </row>
    <row r="22" spans="1:5">
      <c r="A22" s="114">
        <v>15</v>
      </c>
      <c r="B22" s="110" t="s">
        <v>12</v>
      </c>
      <c r="C22" s="105" t="e">
        <f>VLOOKUP(Table257519913140106110151155170178204279[[#This Row],[PEG]],Table1016[#All],2,FALSE)</f>
        <v>#N/A</v>
      </c>
      <c r="D22" s="113"/>
      <c r="E22" s="122" t="e">
        <f>VLOOKUP(Table257519913140106110151155170178204279[[#This Row],[PEG]],Table1016[#All],3,FALSE)</f>
        <v>#N/A</v>
      </c>
    </row>
    <row r="23" spans="1:5">
      <c r="A23" s="114">
        <v>16</v>
      </c>
      <c r="B23" s="110" t="s">
        <v>115</v>
      </c>
      <c r="C23" s="105" t="e">
        <f>VLOOKUP(Table257519913140106110151155170178204279[[#This Row],[PEG]],Table1016[#All],2,FALSE)</f>
        <v>#N/A</v>
      </c>
      <c r="D23" s="113"/>
      <c r="E23" s="122" t="e">
        <f>VLOOKUP(Table257519913140106110151155170178204279[[#This Row],[PEG]],Table1016[#All],3,FALSE)</f>
        <v>#N/A</v>
      </c>
    </row>
    <row r="24" spans="1:5">
      <c r="A24" s="114">
        <v>17</v>
      </c>
      <c r="B24" s="110" t="s">
        <v>114</v>
      </c>
      <c r="C24" s="105" t="e">
        <f>VLOOKUP(Table257519913140106110151155170178204279[[#This Row],[PEG]],Table1016[#All],2,FALSE)</f>
        <v>#N/A</v>
      </c>
      <c r="D24" s="113"/>
      <c r="E24" s="122" t="e">
        <f>VLOOKUP(Table257519913140106110151155170178204279[[#This Row],[PEG]],Table1016[#All],3,FALSE)</f>
        <v>#N/A</v>
      </c>
    </row>
    <row r="25" spans="1:5">
      <c r="A25" s="114">
        <v>18</v>
      </c>
      <c r="B25" s="110" t="s">
        <v>12</v>
      </c>
      <c r="C25" s="105" t="e">
        <f>VLOOKUP(Table257519913140106110151155170178204279[[#This Row],[PEG]],Table1016[#All],2,FALSE)</f>
        <v>#N/A</v>
      </c>
      <c r="D25" s="113"/>
      <c r="E25" s="122" t="e">
        <f>VLOOKUP(Table257519913140106110151155170178204279[[#This Row],[PEG]],Table1016[#All],3,FALSE)</f>
        <v>#N/A</v>
      </c>
    </row>
    <row r="26" spans="1:5">
      <c r="A26" s="114">
        <v>19</v>
      </c>
      <c r="B26" s="110" t="s">
        <v>12</v>
      </c>
      <c r="C26" s="105" t="e">
        <f>VLOOKUP(Table257519913140106110151155170178204279[[#This Row],[PEG]],Table1016[#All],2,FALSE)</f>
        <v>#N/A</v>
      </c>
      <c r="D26" s="113"/>
      <c r="E26" s="122" t="e">
        <f>VLOOKUP(Table257519913140106110151155170178204279[[#This Row],[PEG]],Table1016[#All],3,FALSE)</f>
        <v>#N/A</v>
      </c>
    </row>
    <row r="27" spans="1:5">
      <c r="A27" s="114">
        <v>20</v>
      </c>
      <c r="B27" s="110" t="s">
        <v>115</v>
      </c>
      <c r="C27" s="105" t="e">
        <f>VLOOKUP(Table257519913140106110151155170178204279[[#This Row],[PEG]],Table1016[#All],2,FALSE)</f>
        <v>#N/A</v>
      </c>
      <c r="D27" s="113"/>
      <c r="E27" s="122" t="e">
        <f>VLOOKUP(Table257519913140106110151155170178204279[[#This Row],[PEG]],Table1016[#All],3,FALSE)</f>
        <v>#N/A</v>
      </c>
    </row>
    <row r="28" spans="1:5">
      <c r="A28" s="114">
        <v>21</v>
      </c>
      <c r="B28" s="110" t="s">
        <v>114</v>
      </c>
      <c r="C28" s="105" t="e">
        <f>VLOOKUP(Table257519913140106110151155170178204279[[#This Row],[PEG]],Table1016[#All],2,FALSE)</f>
        <v>#N/A</v>
      </c>
      <c r="D28" s="113"/>
      <c r="E28" s="122" t="e">
        <f>VLOOKUP(Table257519913140106110151155170178204279[[#This Row],[PEG]],Table1016[#All],3,FALSE)</f>
        <v>#N/A</v>
      </c>
    </row>
    <row r="29" spans="1:5">
      <c r="A29" s="114">
        <v>22</v>
      </c>
      <c r="B29" s="110" t="s">
        <v>12</v>
      </c>
      <c r="C29" s="105" t="e">
        <f>VLOOKUP(Table257519913140106110151155170178204279[[#This Row],[PEG]],Table1016[#All],2,FALSE)</f>
        <v>#N/A</v>
      </c>
      <c r="D29" s="113"/>
      <c r="E29" s="122" t="e">
        <f>VLOOKUP(Table257519913140106110151155170178204279[[#This Row],[PEG]],Table1016[#All],3,FALSE)</f>
        <v>#N/A</v>
      </c>
    </row>
    <row r="30" spans="1:5">
      <c r="A30" s="114">
        <v>23</v>
      </c>
      <c r="B30" s="110" t="s">
        <v>12</v>
      </c>
      <c r="C30" s="105" t="e">
        <f>VLOOKUP(Table257519913140106110151155170178204279[[#This Row],[PEG]],Table1016[#All],2,FALSE)</f>
        <v>#N/A</v>
      </c>
      <c r="D30" s="113"/>
      <c r="E30" s="122" t="e">
        <f>VLOOKUP(Table257519913140106110151155170178204279[[#This Row],[PEG]],Table1016[#All],3,FALSE)</f>
        <v>#N/A</v>
      </c>
    </row>
    <row r="31" spans="1:5">
      <c r="A31" s="114">
        <v>24</v>
      </c>
      <c r="B31" s="110" t="s">
        <v>115</v>
      </c>
      <c r="C31" s="105" t="e">
        <f>VLOOKUP(Table257519913140106110151155170178204279[[#This Row],[PEG]],Table1016[#All],2,FALSE)</f>
        <v>#N/A</v>
      </c>
      <c r="D31" s="113"/>
      <c r="E31" s="122" t="e">
        <f>VLOOKUP(Table257519913140106110151155170178204279[[#This Row],[PEG]],Table1016[#All],3,FALSE)</f>
        <v>#N/A</v>
      </c>
    </row>
    <row r="32" spans="1:5">
      <c r="A32" s="114">
        <v>25</v>
      </c>
      <c r="B32" s="110" t="s">
        <v>115</v>
      </c>
      <c r="C32" s="105" t="e">
        <f>VLOOKUP(Table257519913140106110151155170178204279[[#This Row],[PEG]],Table1016[#All],2,FALSE)</f>
        <v>#N/A</v>
      </c>
      <c r="D32" s="113"/>
      <c r="E32" s="122" t="e">
        <f>VLOOKUP(Table257519913140106110151155170178204279[[#This Row],[PEG]],Table1016[#All],3,FALSE)</f>
        <v>#N/A</v>
      </c>
    </row>
    <row r="33" spans="1:5">
      <c r="A33" s="114">
        <v>26</v>
      </c>
      <c r="B33" s="110" t="s">
        <v>124</v>
      </c>
      <c r="C33" s="105" t="e">
        <f>VLOOKUP(Table257519913140106110151155170178204279[[#This Row],[PEG]],Table1016[#All],2,FALSE)</f>
        <v>#N/A</v>
      </c>
      <c r="D33" s="113"/>
      <c r="E33" s="122" t="e">
        <f>VLOOKUP(Table257519913140106110151155170178204279[[#This Row],[PEG]],Table1016[#All],3,FALSE)</f>
        <v>#N/A</v>
      </c>
    </row>
    <row r="34" spans="1:5">
      <c r="A34" s="114">
        <v>27</v>
      </c>
      <c r="B34" s="110" t="s">
        <v>115</v>
      </c>
      <c r="C34" s="105" t="e">
        <f>VLOOKUP(Table257519913140106110151155170178204279[[#This Row],[PEG]],Table1016[#All],2,FALSE)</f>
        <v>#N/A</v>
      </c>
      <c r="D34" s="113"/>
      <c r="E34" s="122" t="e">
        <f>VLOOKUP(Table257519913140106110151155170178204279[[#This Row],[PEG]],Table1016[#All],3,FALSE)</f>
        <v>#N/A</v>
      </c>
    </row>
    <row r="35" spans="1:5">
      <c r="A35" s="114">
        <v>28</v>
      </c>
      <c r="B35" s="110" t="s">
        <v>124</v>
      </c>
      <c r="C35" s="105" t="e">
        <f>VLOOKUP(Table257519913140106110151155170178204279[[#This Row],[PEG]],Table1016[#All],2,FALSE)</f>
        <v>#N/A</v>
      </c>
      <c r="D35" s="113"/>
      <c r="E35" s="122" t="e">
        <f>VLOOKUP(Table257519913140106110151155170178204279[[#This Row],[PEG]],Table1016[#All],3,FALSE)</f>
        <v>#N/A</v>
      </c>
    </row>
    <row r="36" spans="1:5">
      <c r="A36" s="114">
        <v>29</v>
      </c>
      <c r="B36" s="110" t="s">
        <v>115</v>
      </c>
      <c r="C36" s="105" t="e">
        <f>VLOOKUP(Table257519913140106110151155170178204279[[#This Row],[PEG]],Table1016[#All],2,FALSE)</f>
        <v>#N/A</v>
      </c>
      <c r="D36" s="113"/>
      <c r="E36" s="122" t="e">
        <f>VLOOKUP(Table257519913140106110151155170178204279[[#This Row],[PEG]],Table1016[#All],3,FALSE)</f>
        <v>#N/A</v>
      </c>
    </row>
    <row r="37" spans="1:5">
      <c r="A37" s="114">
        <v>30</v>
      </c>
      <c r="B37" s="110" t="s">
        <v>12</v>
      </c>
      <c r="C37" s="105" t="e">
        <f>VLOOKUP(Table257519913140106110151155170178204279[[#This Row],[PEG]],Table1016[#All],2,FALSE)</f>
        <v>#N/A</v>
      </c>
      <c r="D37" s="113"/>
      <c r="E37" s="122" t="e">
        <f>VLOOKUP(Table257519913140106110151155170178204279[[#This Row],[PEG]],Table1016[#All],3,FALSE)</f>
        <v>#N/A</v>
      </c>
    </row>
    <row r="38" spans="1:5">
      <c r="A38" s="114">
        <v>31</v>
      </c>
      <c r="B38" s="110" t="s">
        <v>12</v>
      </c>
      <c r="C38" s="105" t="e">
        <f>VLOOKUP(Table257519913140106110151155170178204279[[#This Row],[PEG]],Table1016[#All],2,FALSE)</f>
        <v>#N/A</v>
      </c>
      <c r="D38" s="113"/>
      <c r="E38" s="122" t="e">
        <f>VLOOKUP(Table257519913140106110151155170178204279[[#This Row],[PEG]],Table1016[#All],3,FALSE)</f>
        <v>#N/A</v>
      </c>
    </row>
    <row r="39" spans="1:5">
      <c r="A39" s="114">
        <v>32</v>
      </c>
      <c r="B39" s="110" t="s">
        <v>12</v>
      </c>
      <c r="C39" s="105" t="e">
        <f>VLOOKUP(Table257519913140106110151155170178204279[[#This Row],[PEG]],Table1016[#All],2,FALSE)</f>
        <v>#N/A</v>
      </c>
      <c r="D39" s="113"/>
      <c r="E39" s="122" t="e">
        <f>VLOOKUP(Table257519913140106110151155170178204279[[#This Row],[PEG]],Table1016[#All],3,FALSE)</f>
        <v>#N/A</v>
      </c>
    </row>
    <row r="40" spans="1:5">
      <c r="A40" s="114">
        <v>33</v>
      </c>
      <c r="B40" s="110" t="s">
        <v>12</v>
      </c>
      <c r="C40" s="105" t="e">
        <f>VLOOKUP(Table257519913140106110151155170178204279[[#This Row],[PEG]],Table1016[#All],2,FALSE)</f>
        <v>#N/A</v>
      </c>
      <c r="D40" s="113"/>
      <c r="E40" s="122" t="e">
        <f>VLOOKUP(Table257519913140106110151155170178204279[[#This Row],[PEG]],Table1016[#All],3,FALSE)</f>
        <v>#N/A</v>
      </c>
    </row>
    <row r="41" spans="1:5">
      <c r="A41" s="114">
        <v>34</v>
      </c>
      <c r="B41" s="110" t="s">
        <v>115</v>
      </c>
      <c r="C41" s="105" t="e">
        <f>VLOOKUP(Table257519913140106110151155170178204279[[#This Row],[PEG]],Table1016[#All],2,FALSE)</f>
        <v>#N/A</v>
      </c>
      <c r="D41" s="113"/>
      <c r="E41" s="122" t="e">
        <f>VLOOKUP(Table257519913140106110151155170178204279[[#This Row],[PEG]],Table1016[#All],3,FALSE)</f>
        <v>#N/A</v>
      </c>
    </row>
    <row r="42" spans="1:5">
      <c r="A42" s="114">
        <v>35</v>
      </c>
      <c r="B42" s="110" t="s">
        <v>12</v>
      </c>
      <c r="C42" s="105" t="e">
        <f>VLOOKUP(Table257519913140106110151155170178204279[[#This Row],[PEG]],Table1016[#All],2,FALSE)</f>
        <v>#N/A</v>
      </c>
      <c r="D42" s="111"/>
      <c r="E42" s="122" t="e">
        <f>VLOOKUP(Table257519913140106110151155170178204279[[#This Row],[PEG]],Table1016[#All],3,FALSE)</f>
        <v>#N/A</v>
      </c>
    </row>
    <row r="43" spans="1:5">
      <c r="A43" s="114">
        <v>36</v>
      </c>
      <c r="B43" s="110" t="s">
        <v>115</v>
      </c>
      <c r="C43" s="105" t="e">
        <f>VLOOKUP(Table257519913140106110151155170178204279[[#This Row],[PEG]],Table1016[#All],2,FALSE)</f>
        <v>#N/A</v>
      </c>
      <c r="D43" s="111"/>
      <c r="E43" s="122" t="e">
        <f>VLOOKUP(Table257519913140106110151155170178204279[[#This Row],[PEG]],Table1016[#All],3,FALSE)</f>
        <v>#N/A</v>
      </c>
    </row>
    <row r="44" spans="1:5">
      <c r="A44" s="114">
        <v>37</v>
      </c>
      <c r="B44" s="110" t="s">
        <v>13</v>
      </c>
      <c r="C44" s="17" t="s">
        <v>13</v>
      </c>
      <c r="D44" s="111"/>
      <c r="E44" s="31"/>
    </row>
  </sheetData>
  <mergeCells count="1">
    <mergeCell ref="A1:B1"/>
  </mergeCells>
  <conditionalFormatting sqref="B8:B18">
    <cfRule type="containsText" dxfId="510" priority="1" operator="containsText" text="Hear">
      <formula>NOT(ISERROR(SEARCH("Hear",B8)))</formula>
    </cfRule>
  </conditionalFormatting>
  <conditionalFormatting sqref="B30">
    <cfRule type="containsText" dxfId="509" priority="4" operator="containsText" text="Hear">
      <formula>NOT(ISERROR(SEARCH("Hear",B30)))</formula>
    </cfRule>
  </conditionalFormatting>
  <conditionalFormatting sqref="B43:B44">
    <cfRule type="containsText" dxfId="508" priority="8" operator="containsText" text="Hear">
      <formula>NOT(ISERROR(SEARCH("Hear",B43)))</formula>
    </cfRule>
  </conditionalFormatting>
  <conditionalFormatting sqref="E44">
    <cfRule type="containsText" dxfId="507" priority="6" operator="containsText" text="WEB SERVICE">
      <formula>NOT(ISERROR(SEARCH("WEB SERVICE",E44)))</formula>
    </cfRule>
    <cfRule type="containsText" dxfId="506" priority="7" operator="containsText" text="DB">
      <formula>NOT(ISERROR(SEARCH("DB",E44)))</formula>
    </cfRule>
  </conditionalFormatting>
  <conditionalFormatting sqref="C44">
    <cfRule type="expression" dxfId="505" priority="9">
      <formula>$B44="Dial"</formula>
    </cfRule>
  </conditionalFormatting>
  <conditionalFormatting sqref="C44">
    <cfRule type="expression" dxfId="504" priority="3">
      <formula>$B44="Speak"</formula>
    </cfRule>
  </conditionalFormatting>
  <conditionalFormatting sqref="B19:B29 B31:B35 B42">
    <cfRule type="containsText" dxfId="503" priority="5" operator="containsText" text="Hear">
      <formula>NOT(ISERROR(SEARCH("Hear",B19)))</formula>
    </cfRule>
  </conditionalFormatting>
  <hyperlinks>
    <hyperlink ref="A1" location="'Test Case Overview'!A1" display="Return to Test Case Overview" xr:uid="{00000000-0004-0000-B9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415805D5-460D-4FF6-84AF-D67D54AABFAA}">
            <xm:f>'TC1'!$B8="HANGUP"</xm:f>
            <x14:dxf>
              <font>
                <b/>
                <i val="0"/>
              </font>
            </x14:dxf>
          </x14:cfRule>
          <xm:sqref>C8</xm:sqref>
        </x14:conditionalFormatting>
        <x14:conditionalFormatting xmlns:xm="http://schemas.microsoft.com/office/excel/2006/main">
          <x14:cfRule type="expression" priority="3389" id="{415805D5-460D-4FF6-84AF-D67D54AABFAA}">
            <xm:f>'TC1'!$B14="HANGUP"</xm:f>
            <x14:dxf>
              <font>
                <b/>
                <i val="0"/>
              </font>
            </x14:dxf>
          </x14:cfRule>
          <xm:sqref>C34:C43</xm:sqref>
        </x14:conditionalFormatting>
        <x14:conditionalFormatting xmlns:xm="http://schemas.microsoft.com/office/excel/2006/main">
          <x14:cfRule type="expression" priority="3390" id="{415805D5-460D-4FF6-84AF-D67D54AABFAA}">
            <xm:f>'TC1'!#REF!="HANGUP"</xm:f>
            <x14:dxf>
              <font>
                <b/>
                <i val="0"/>
              </font>
            </x14:dxf>
          </x14:cfRule>
          <xm:sqref>C13:C33</xm:sqref>
        </x14:conditionalFormatting>
        <x14:conditionalFormatting xmlns:xm="http://schemas.microsoft.com/office/excel/2006/main">
          <x14:cfRule type="expression" priority="4621" id="{415805D5-460D-4FF6-84AF-D67D54AABFAA}">
            <xm:f>'TC1'!$B10="HANGUP"</xm:f>
            <x14:dxf>
              <font>
                <b/>
                <i val="0"/>
              </font>
            </x14:dxf>
          </x14:cfRule>
          <xm:sqref>C9:C12</xm:sqref>
        </x14:conditionalFormatting>
      </x14:conditionalFormattings>
    </ext>
  </extLst>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A00-000000000000}">
  <sheetPr codeName="Sheet188"/>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TC186</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VLOOKUP(Table257519913140106110151155170178204281[[#This Row],[PEG]],Table1016[#All],2,FALSE)</f>
        <v>#N/A</v>
      </c>
      <c r="D9" s="125"/>
      <c r="E9" s="122" t="e">
        <f>VLOOKUP(Table257519913140106110151155170178204281[[#This Row],[PEG]],Table1016[#All],3,FALSE)</f>
        <v>#N/A</v>
      </c>
    </row>
    <row r="10" spans="1:5">
      <c r="A10" s="114">
        <v>3</v>
      </c>
      <c r="B10" s="110" t="s">
        <v>115</v>
      </c>
      <c r="C10" s="105" t="e">
        <f>VLOOKUP(Table257519913140106110151155170178204281[[#This Row],[PEG]],Table1016[#All],2,FALSE)</f>
        <v>#N/A</v>
      </c>
      <c r="D10" s="125"/>
      <c r="E10" s="122" t="e">
        <f>VLOOKUP(Table257519913140106110151155170178204281[[#This Row],[PEG]],Table1016[#All],3,FALSE)</f>
        <v>#N/A</v>
      </c>
    </row>
    <row r="11" spans="1:5">
      <c r="A11" s="114">
        <v>4</v>
      </c>
      <c r="B11" s="110" t="s">
        <v>115</v>
      </c>
      <c r="C11" s="105" t="e">
        <f>VLOOKUP(Table257519913140106110151155170178204281[[#This Row],[PEG]],Table1016[#All],2,FALSE)</f>
        <v>#N/A</v>
      </c>
      <c r="D11" s="125"/>
      <c r="E11" s="122" t="e">
        <f>VLOOKUP(Table257519913140106110151155170178204281[[#This Row],[PEG]],Table1016[#All],3,FALSE)</f>
        <v>#N/A</v>
      </c>
    </row>
    <row r="12" spans="1:5">
      <c r="A12" s="114">
        <v>5</v>
      </c>
      <c r="B12" s="110" t="s">
        <v>114</v>
      </c>
      <c r="C12" s="105" t="e">
        <f>VLOOKUP(Table257519913140106110151155170178204281[[#This Row],[PEG]],Table1016[#All],2,FALSE)</f>
        <v>#N/A</v>
      </c>
      <c r="D12" s="125"/>
      <c r="E12" s="122" t="e">
        <f>VLOOKUP(Table257519913140106110151155170178204281[[#This Row],[PEG]],Table1016[#All],3,FALSE)</f>
        <v>#N/A</v>
      </c>
    </row>
    <row r="13" spans="1:5">
      <c r="A13" s="114">
        <v>6</v>
      </c>
      <c r="B13" s="110" t="s">
        <v>115</v>
      </c>
      <c r="C13" s="105" t="e">
        <f>VLOOKUP(Table257519913140106110151155170178204281[[#This Row],[PEG]],Table1016[#All],2,FALSE)</f>
        <v>#N/A</v>
      </c>
      <c r="D13" s="125"/>
      <c r="E13" s="122" t="e">
        <f>VLOOKUP(Table257519913140106110151155170178204281[[#This Row],[PEG]],Table1016[#All],3,FALSE)</f>
        <v>#N/A</v>
      </c>
    </row>
    <row r="14" spans="1:5">
      <c r="A14" s="114">
        <v>7</v>
      </c>
      <c r="B14" s="110" t="s">
        <v>114</v>
      </c>
      <c r="C14" s="105" t="e">
        <f>VLOOKUP(Table257519913140106110151155170178204281[[#This Row],[PEG]],Table1016[#All],2,FALSE)</f>
        <v>#N/A</v>
      </c>
      <c r="D14" s="125"/>
      <c r="E14" s="122" t="e">
        <f>VLOOKUP(Table257519913140106110151155170178204281[[#This Row],[PEG]],Table1016[#All],3,FALSE)</f>
        <v>#N/A</v>
      </c>
    </row>
    <row r="15" spans="1:5">
      <c r="A15" s="114">
        <v>8</v>
      </c>
      <c r="B15" s="110" t="s">
        <v>115</v>
      </c>
      <c r="C15" s="105" t="e">
        <f>VLOOKUP(Table257519913140106110151155170178204281[[#This Row],[PEG]],Table1016[#All],2,FALSE)</f>
        <v>#N/A</v>
      </c>
      <c r="D15" s="112"/>
      <c r="E15" s="122" t="e">
        <f>VLOOKUP(Table257519913140106110151155170178204281[[#This Row],[PEG]],Table1016[#All],3,FALSE)</f>
        <v>#N/A</v>
      </c>
    </row>
    <row r="16" spans="1:5">
      <c r="A16" s="114">
        <v>9</v>
      </c>
      <c r="B16" s="110" t="s">
        <v>12</v>
      </c>
      <c r="C16" s="105" t="e">
        <f>VLOOKUP(Table257519913140106110151155170178204281[[#This Row],[PEG]],Table1016[#All],2,FALSE)</f>
        <v>#N/A</v>
      </c>
      <c r="D16" s="112"/>
      <c r="E16" s="122" t="e">
        <f>VLOOKUP(Table257519913140106110151155170178204281[[#This Row],[PEG]],Table1016[#All],3,FALSE)</f>
        <v>#N/A</v>
      </c>
    </row>
    <row r="17" spans="1:5">
      <c r="A17" s="114">
        <v>10</v>
      </c>
      <c r="B17" s="110" t="s">
        <v>12</v>
      </c>
      <c r="C17" s="105" t="e">
        <f>VLOOKUP(Table257519913140106110151155170178204281[[#This Row],[PEG]],Table1016[#All],2,FALSE)</f>
        <v>#N/A</v>
      </c>
      <c r="D17" s="113"/>
      <c r="E17" s="122" t="e">
        <f>VLOOKUP(Table257519913140106110151155170178204281[[#This Row],[PEG]],Table1016[#All],3,FALSE)</f>
        <v>#N/A</v>
      </c>
    </row>
    <row r="18" spans="1:5">
      <c r="A18" s="114">
        <v>11</v>
      </c>
      <c r="B18" s="110" t="s">
        <v>115</v>
      </c>
      <c r="C18" s="105" t="e">
        <f>VLOOKUP(Table257519913140106110151155170178204281[[#This Row],[PEG]],Table1016[#All],2,FALSE)</f>
        <v>#N/A</v>
      </c>
      <c r="D18" s="113"/>
      <c r="E18" s="122" t="e">
        <f>VLOOKUP(Table257519913140106110151155170178204281[[#This Row],[PEG]],Table1016[#All],3,FALSE)</f>
        <v>#N/A</v>
      </c>
    </row>
    <row r="19" spans="1:5">
      <c r="A19" s="114">
        <v>12</v>
      </c>
      <c r="B19" s="110" t="s">
        <v>115</v>
      </c>
      <c r="C19" s="105" t="e">
        <f>VLOOKUP(Table257519913140106110151155170178204281[[#This Row],[PEG]],Table1016[#All],2,FALSE)</f>
        <v>#N/A</v>
      </c>
      <c r="D19" s="113"/>
      <c r="E19" s="122" t="e">
        <f>VLOOKUP(Table257519913140106110151155170178204281[[#This Row],[PEG]],Table1016[#All],3,FALSE)</f>
        <v>#N/A</v>
      </c>
    </row>
    <row r="20" spans="1:5">
      <c r="A20" s="114">
        <v>13</v>
      </c>
      <c r="B20" s="110" t="s">
        <v>114</v>
      </c>
      <c r="C20" s="105" t="e">
        <f>VLOOKUP(Table257519913140106110151155170178204281[[#This Row],[PEG]],Table1016[#All],2,FALSE)</f>
        <v>#N/A</v>
      </c>
      <c r="D20" s="113"/>
      <c r="E20" s="122" t="e">
        <f>VLOOKUP(Table257519913140106110151155170178204281[[#This Row],[PEG]],Table1016[#All],3,FALSE)</f>
        <v>#N/A</v>
      </c>
    </row>
    <row r="21" spans="1:5">
      <c r="A21" s="114">
        <v>14</v>
      </c>
      <c r="B21" s="110" t="s">
        <v>12</v>
      </c>
      <c r="C21" s="105" t="e">
        <f>VLOOKUP(Table257519913140106110151155170178204281[[#This Row],[PEG]],Table1016[#All],2,FALSE)</f>
        <v>#N/A</v>
      </c>
      <c r="D21" s="113"/>
      <c r="E21" s="122" t="e">
        <f>VLOOKUP(Table257519913140106110151155170178204281[[#This Row],[PEG]],Table1016[#All],3,FALSE)</f>
        <v>#N/A</v>
      </c>
    </row>
    <row r="22" spans="1:5">
      <c r="A22" s="114">
        <v>15</v>
      </c>
      <c r="B22" s="110" t="s">
        <v>12</v>
      </c>
      <c r="C22" s="105" t="e">
        <f>VLOOKUP(Table257519913140106110151155170178204281[[#This Row],[PEG]],Table1016[#All],2,FALSE)</f>
        <v>#N/A</v>
      </c>
      <c r="D22" s="113"/>
      <c r="E22" s="122" t="e">
        <f>VLOOKUP(Table257519913140106110151155170178204281[[#This Row],[PEG]],Table1016[#All],3,FALSE)</f>
        <v>#N/A</v>
      </c>
    </row>
    <row r="23" spans="1:5">
      <c r="A23" s="114">
        <v>16</v>
      </c>
      <c r="B23" s="110" t="s">
        <v>115</v>
      </c>
      <c r="C23" s="105" t="e">
        <f>VLOOKUP(Table257519913140106110151155170178204281[[#This Row],[PEG]],Table1016[#All],2,FALSE)</f>
        <v>#N/A</v>
      </c>
      <c r="D23" s="113"/>
      <c r="E23" s="122" t="e">
        <f>VLOOKUP(Table257519913140106110151155170178204281[[#This Row],[PEG]],Table1016[#All],3,FALSE)</f>
        <v>#N/A</v>
      </c>
    </row>
    <row r="24" spans="1:5">
      <c r="A24" s="114">
        <v>17</v>
      </c>
      <c r="B24" s="110" t="s">
        <v>114</v>
      </c>
      <c r="C24" s="105" t="e">
        <f>VLOOKUP(Table257519913140106110151155170178204281[[#This Row],[PEG]],Table1016[#All],2,FALSE)</f>
        <v>#N/A</v>
      </c>
      <c r="D24" s="113"/>
      <c r="E24" s="122" t="e">
        <f>VLOOKUP(Table257519913140106110151155170178204281[[#This Row],[PEG]],Table1016[#All],3,FALSE)</f>
        <v>#N/A</v>
      </c>
    </row>
    <row r="25" spans="1:5">
      <c r="A25" s="114">
        <v>18</v>
      </c>
      <c r="B25" s="110" t="s">
        <v>12</v>
      </c>
      <c r="C25" s="105" t="e">
        <f>VLOOKUP(Table257519913140106110151155170178204281[[#This Row],[PEG]],Table1016[#All],2,FALSE)</f>
        <v>#N/A</v>
      </c>
      <c r="D25" s="113"/>
      <c r="E25" s="122" t="e">
        <f>VLOOKUP(Table257519913140106110151155170178204281[[#This Row],[PEG]],Table1016[#All],3,FALSE)</f>
        <v>#N/A</v>
      </c>
    </row>
    <row r="26" spans="1:5">
      <c r="A26" s="114">
        <v>19</v>
      </c>
      <c r="B26" s="110" t="s">
        <v>12</v>
      </c>
      <c r="C26" s="105" t="e">
        <f>VLOOKUP(Table257519913140106110151155170178204281[[#This Row],[PEG]],Table1016[#All],2,FALSE)</f>
        <v>#N/A</v>
      </c>
      <c r="D26" s="113"/>
      <c r="E26" s="122" t="e">
        <f>VLOOKUP(Table257519913140106110151155170178204281[[#This Row],[PEG]],Table1016[#All],3,FALSE)</f>
        <v>#N/A</v>
      </c>
    </row>
    <row r="27" spans="1:5">
      <c r="A27" s="114">
        <v>20</v>
      </c>
      <c r="B27" s="110" t="s">
        <v>115</v>
      </c>
      <c r="C27" s="105" t="e">
        <f>VLOOKUP(Table257519913140106110151155170178204281[[#This Row],[PEG]],Table1016[#All],2,FALSE)</f>
        <v>#N/A</v>
      </c>
      <c r="D27" s="113"/>
      <c r="E27" s="122" t="e">
        <f>VLOOKUP(Table257519913140106110151155170178204281[[#This Row],[PEG]],Table1016[#All],3,FALSE)</f>
        <v>#N/A</v>
      </c>
    </row>
    <row r="28" spans="1:5">
      <c r="A28" s="114">
        <v>21</v>
      </c>
      <c r="B28" s="110" t="s">
        <v>114</v>
      </c>
      <c r="C28" s="105" t="e">
        <f>VLOOKUP(Table257519913140106110151155170178204281[[#This Row],[PEG]],Table1016[#All],2,FALSE)</f>
        <v>#N/A</v>
      </c>
      <c r="D28" s="113"/>
      <c r="E28" s="122" t="e">
        <f>VLOOKUP(Table257519913140106110151155170178204281[[#This Row],[PEG]],Table1016[#All],3,FALSE)</f>
        <v>#N/A</v>
      </c>
    </row>
    <row r="29" spans="1:5">
      <c r="A29" s="114">
        <v>22</v>
      </c>
      <c r="B29" s="110" t="s">
        <v>12</v>
      </c>
      <c r="C29" s="105" t="e">
        <f>VLOOKUP(Table257519913140106110151155170178204281[[#This Row],[PEG]],Table1016[#All],2,FALSE)</f>
        <v>#N/A</v>
      </c>
      <c r="D29" s="113"/>
      <c r="E29" s="122" t="e">
        <f>VLOOKUP(Table257519913140106110151155170178204281[[#This Row],[PEG]],Table1016[#All],3,FALSE)</f>
        <v>#N/A</v>
      </c>
    </row>
    <row r="30" spans="1:5">
      <c r="A30" s="114">
        <v>23</v>
      </c>
      <c r="B30" s="110" t="s">
        <v>12</v>
      </c>
      <c r="C30" s="105" t="e">
        <f>VLOOKUP(Table257519913140106110151155170178204281[[#This Row],[PEG]],Table1016[#All],2,FALSE)</f>
        <v>#N/A</v>
      </c>
      <c r="D30" s="113"/>
      <c r="E30" s="122" t="e">
        <f>VLOOKUP(Table257519913140106110151155170178204281[[#This Row],[PEG]],Table1016[#All],3,FALSE)</f>
        <v>#N/A</v>
      </c>
    </row>
    <row r="31" spans="1:5">
      <c r="A31" s="114">
        <v>24</v>
      </c>
      <c r="B31" s="110" t="s">
        <v>115</v>
      </c>
      <c r="C31" s="105" t="e">
        <f>VLOOKUP(Table257519913140106110151155170178204281[[#This Row],[PEG]],Table1016[#All],2,FALSE)</f>
        <v>#N/A</v>
      </c>
      <c r="D31" s="113"/>
      <c r="E31" s="122" t="e">
        <f>VLOOKUP(Table257519913140106110151155170178204281[[#This Row],[PEG]],Table1016[#All],3,FALSE)</f>
        <v>#N/A</v>
      </c>
    </row>
    <row r="32" spans="1:5">
      <c r="A32" s="114">
        <v>25</v>
      </c>
      <c r="B32" s="110" t="s">
        <v>115</v>
      </c>
      <c r="C32" s="105" t="e">
        <f>VLOOKUP(Table257519913140106110151155170178204281[[#This Row],[PEG]],Table1016[#All],2,FALSE)</f>
        <v>#N/A</v>
      </c>
      <c r="D32" s="113"/>
      <c r="E32" s="122" t="e">
        <f>VLOOKUP(Table257519913140106110151155170178204281[[#This Row],[PEG]],Table1016[#All],3,FALSE)</f>
        <v>#N/A</v>
      </c>
    </row>
    <row r="33" spans="1:5">
      <c r="A33" s="114">
        <v>26</v>
      </c>
      <c r="B33" s="110" t="s">
        <v>124</v>
      </c>
      <c r="C33" s="105" t="e">
        <f>VLOOKUP(Table257519913140106110151155170178204281[[#This Row],[PEG]],Table1016[#All],2,FALSE)</f>
        <v>#N/A</v>
      </c>
      <c r="D33" s="113"/>
      <c r="E33" s="122" t="e">
        <f>VLOOKUP(Table257519913140106110151155170178204281[[#This Row],[PEG]],Table1016[#All],3,FALSE)</f>
        <v>#N/A</v>
      </c>
    </row>
    <row r="34" spans="1:5">
      <c r="A34" s="114">
        <v>27</v>
      </c>
      <c r="B34" s="110" t="s">
        <v>115</v>
      </c>
      <c r="C34" s="105" t="e">
        <f>VLOOKUP(Table257519913140106110151155170178204281[[#This Row],[PEG]],Table1016[#All],2,FALSE)</f>
        <v>#N/A</v>
      </c>
      <c r="D34" s="113"/>
      <c r="E34" s="122" t="e">
        <f>VLOOKUP(Table257519913140106110151155170178204281[[#This Row],[PEG]],Table1016[#All],3,FALSE)</f>
        <v>#N/A</v>
      </c>
    </row>
    <row r="35" spans="1:5">
      <c r="A35" s="114">
        <v>28</v>
      </c>
      <c r="B35" s="110" t="s">
        <v>124</v>
      </c>
      <c r="C35" s="105" t="e">
        <f>VLOOKUP(Table257519913140106110151155170178204281[[#This Row],[PEG]],Table1016[#All],2,FALSE)</f>
        <v>#N/A</v>
      </c>
      <c r="D35" s="113"/>
      <c r="E35" s="122" t="e">
        <f>VLOOKUP(Table257519913140106110151155170178204281[[#This Row],[PEG]],Table1016[#All],3,FALSE)</f>
        <v>#N/A</v>
      </c>
    </row>
    <row r="36" spans="1:5">
      <c r="A36" s="114">
        <v>29</v>
      </c>
      <c r="B36" s="110" t="s">
        <v>115</v>
      </c>
      <c r="C36" s="105" t="e">
        <f>VLOOKUP(Table257519913140106110151155170178204281[[#This Row],[PEG]],Table1016[#All],2,FALSE)</f>
        <v>#N/A</v>
      </c>
      <c r="D36" s="113"/>
      <c r="E36" s="122" t="e">
        <f>VLOOKUP(Table257519913140106110151155170178204281[[#This Row],[PEG]],Table1016[#All],3,FALSE)</f>
        <v>#N/A</v>
      </c>
    </row>
    <row r="37" spans="1:5">
      <c r="A37" s="114">
        <v>30</v>
      </c>
      <c r="B37" s="110" t="s">
        <v>12</v>
      </c>
      <c r="C37" s="105" t="e">
        <f>VLOOKUP(Table257519913140106110151155170178204281[[#This Row],[PEG]],Table1016[#All],2,FALSE)</f>
        <v>#N/A</v>
      </c>
      <c r="D37" s="113"/>
      <c r="E37" s="122" t="e">
        <f>VLOOKUP(Table257519913140106110151155170178204281[[#This Row],[PEG]],Table1016[#All],3,FALSE)</f>
        <v>#N/A</v>
      </c>
    </row>
    <row r="38" spans="1:5">
      <c r="A38" s="114">
        <v>31</v>
      </c>
      <c r="B38" s="110" t="s">
        <v>12</v>
      </c>
      <c r="C38" s="105" t="e">
        <f>VLOOKUP(Table257519913140106110151155170178204281[[#This Row],[PEG]],Table1016[#All],2,FALSE)</f>
        <v>#N/A</v>
      </c>
      <c r="D38" s="113"/>
      <c r="E38" s="122" t="e">
        <f>VLOOKUP(Table257519913140106110151155170178204281[[#This Row],[PEG]],Table1016[#All],3,FALSE)</f>
        <v>#N/A</v>
      </c>
    </row>
    <row r="39" spans="1:5">
      <c r="A39" s="114">
        <v>32</v>
      </c>
      <c r="B39" s="110" t="s">
        <v>12</v>
      </c>
      <c r="C39" s="105" t="e">
        <f>VLOOKUP(Table257519913140106110151155170178204281[[#This Row],[PEG]],Table1016[#All],2,FALSE)</f>
        <v>#N/A</v>
      </c>
      <c r="D39" s="113"/>
      <c r="E39" s="122" t="e">
        <f>VLOOKUP(Table257519913140106110151155170178204281[[#This Row],[PEG]],Table1016[#All],3,FALSE)</f>
        <v>#N/A</v>
      </c>
    </row>
    <row r="40" spans="1:5">
      <c r="A40" s="114">
        <v>33</v>
      </c>
      <c r="B40" s="110" t="s">
        <v>12</v>
      </c>
      <c r="C40" s="105" t="e">
        <f>VLOOKUP(Table257519913140106110151155170178204281[[#This Row],[PEG]],Table1016[#All],2,FALSE)</f>
        <v>#N/A</v>
      </c>
      <c r="D40" s="113"/>
      <c r="E40" s="122" t="e">
        <f>VLOOKUP(Table257519913140106110151155170178204281[[#This Row],[PEG]],Table1016[#All],3,FALSE)</f>
        <v>#N/A</v>
      </c>
    </row>
    <row r="41" spans="1:5">
      <c r="A41" s="114">
        <v>34</v>
      </c>
      <c r="B41" s="110" t="s">
        <v>115</v>
      </c>
      <c r="C41" s="105" t="e">
        <f>VLOOKUP(Table257519913140106110151155170178204281[[#This Row],[PEG]],Table1016[#All],2,FALSE)</f>
        <v>#N/A</v>
      </c>
      <c r="D41" s="113"/>
      <c r="E41" s="122" t="e">
        <f>VLOOKUP(Table257519913140106110151155170178204281[[#This Row],[PEG]],Table1016[#All],3,FALSE)</f>
        <v>#N/A</v>
      </c>
    </row>
    <row r="42" spans="1:5">
      <c r="A42" s="114">
        <v>35</v>
      </c>
      <c r="B42" s="110" t="s">
        <v>12</v>
      </c>
      <c r="C42" s="105" t="e">
        <f>VLOOKUP(Table257519913140106110151155170178204281[[#This Row],[PEG]],Table1016[#All],2,FALSE)</f>
        <v>#N/A</v>
      </c>
      <c r="D42" s="111"/>
      <c r="E42" s="122" t="e">
        <f>VLOOKUP(Table257519913140106110151155170178204281[[#This Row],[PEG]],Table1016[#All],3,FALSE)</f>
        <v>#N/A</v>
      </c>
    </row>
    <row r="43" spans="1:5">
      <c r="A43" s="114">
        <v>36</v>
      </c>
      <c r="B43" s="110" t="s">
        <v>115</v>
      </c>
      <c r="C43" s="105" t="e">
        <f>VLOOKUP(Table257519913140106110151155170178204281[[#This Row],[PEG]],Table1016[#All],2,FALSE)</f>
        <v>#N/A</v>
      </c>
      <c r="D43" s="111"/>
      <c r="E43" s="122" t="e">
        <f>VLOOKUP(Table257519913140106110151155170178204281[[#This Row],[PEG]],Table1016[#All],3,FALSE)</f>
        <v>#N/A</v>
      </c>
    </row>
    <row r="44" spans="1:5">
      <c r="A44" s="114">
        <v>37</v>
      </c>
      <c r="B44" s="110" t="s">
        <v>13</v>
      </c>
      <c r="C44" s="17" t="s">
        <v>13</v>
      </c>
      <c r="D44" s="111"/>
      <c r="E44" s="31"/>
    </row>
  </sheetData>
  <mergeCells count="1">
    <mergeCell ref="A1:B1"/>
  </mergeCells>
  <conditionalFormatting sqref="B8:B18">
    <cfRule type="containsText" dxfId="489" priority="1" operator="containsText" text="Hear">
      <formula>NOT(ISERROR(SEARCH("Hear",B8)))</formula>
    </cfRule>
  </conditionalFormatting>
  <conditionalFormatting sqref="B30">
    <cfRule type="containsText" dxfId="488" priority="4" operator="containsText" text="Hear">
      <formula>NOT(ISERROR(SEARCH("Hear",B30)))</formula>
    </cfRule>
  </conditionalFormatting>
  <conditionalFormatting sqref="B43:B44">
    <cfRule type="containsText" dxfId="487" priority="8" operator="containsText" text="Hear">
      <formula>NOT(ISERROR(SEARCH("Hear",B43)))</formula>
    </cfRule>
  </conditionalFormatting>
  <conditionalFormatting sqref="E44">
    <cfRule type="containsText" dxfId="486" priority="6" operator="containsText" text="WEB SERVICE">
      <formula>NOT(ISERROR(SEARCH("WEB SERVICE",E44)))</formula>
    </cfRule>
    <cfRule type="containsText" dxfId="485" priority="7" operator="containsText" text="DB">
      <formula>NOT(ISERROR(SEARCH("DB",E44)))</formula>
    </cfRule>
  </conditionalFormatting>
  <conditionalFormatting sqref="C44">
    <cfRule type="expression" dxfId="484" priority="9">
      <formula>$B44="Dial"</formula>
    </cfRule>
  </conditionalFormatting>
  <conditionalFormatting sqref="C44">
    <cfRule type="expression" dxfId="483" priority="3">
      <formula>$B44="Speak"</formula>
    </cfRule>
  </conditionalFormatting>
  <conditionalFormatting sqref="B19:B29 B31:B35 B42">
    <cfRule type="containsText" dxfId="482" priority="5" operator="containsText" text="Hear">
      <formula>NOT(ISERROR(SEARCH("Hear",B19)))</formula>
    </cfRule>
  </conditionalFormatting>
  <hyperlinks>
    <hyperlink ref="A1" location="'Test Case Overview'!A1" display="Return to Test Case Overview" xr:uid="{00000000-0004-0000-BA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0B2BBA32-7851-4AF7-B7FB-6CE7D26CCE43}">
            <xm:f>'TC1'!$B8="HANGUP"</xm:f>
            <x14:dxf>
              <font>
                <b/>
                <i val="0"/>
              </font>
            </x14:dxf>
          </x14:cfRule>
          <xm:sqref>C8</xm:sqref>
        </x14:conditionalFormatting>
        <x14:conditionalFormatting xmlns:xm="http://schemas.microsoft.com/office/excel/2006/main">
          <x14:cfRule type="expression" priority="3393" id="{0B2BBA32-7851-4AF7-B7FB-6CE7D26CCE43}">
            <xm:f>'TC1'!$B14="HANGUP"</xm:f>
            <x14:dxf>
              <font>
                <b/>
                <i val="0"/>
              </font>
            </x14:dxf>
          </x14:cfRule>
          <xm:sqref>C34:C43</xm:sqref>
        </x14:conditionalFormatting>
        <x14:conditionalFormatting xmlns:xm="http://schemas.microsoft.com/office/excel/2006/main">
          <x14:cfRule type="expression" priority="3394" id="{0B2BBA32-7851-4AF7-B7FB-6CE7D26CCE43}">
            <xm:f>'TC1'!#REF!="HANGUP"</xm:f>
            <x14:dxf>
              <font>
                <b/>
                <i val="0"/>
              </font>
            </x14:dxf>
          </x14:cfRule>
          <xm:sqref>C13:C33</xm:sqref>
        </x14:conditionalFormatting>
        <x14:conditionalFormatting xmlns:xm="http://schemas.microsoft.com/office/excel/2006/main">
          <x14:cfRule type="expression" priority="4623" id="{0B2BBA32-7851-4AF7-B7FB-6CE7D26CCE43}">
            <xm:f>'TC1'!$B10="HANGUP"</xm:f>
            <x14:dxf>
              <font>
                <b/>
                <i val="0"/>
              </font>
            </x14:dxf>
          </x14:cfRule>
          <xm:sqref>C9:C12</xm:sqref>
        </x14:conditionalFormatting>
      </x14:conditionalFormattings>
    </ext>
  </extLst>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B00-000000000000}">
  <sheetPr codeName="Sheet189"/>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TC187</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VLOOKUP(Table257519913140106110151155170178204283[[#This Row],[PEG]],Table1016[#All],2,FALSE)</f>
        <v>#N/A</v>
      </c>
      <c r="D9" s="125"/>
      <c r="E9" s="122" t="e">
        <f>VLOOKUP(Table257519913140106110151155170178204283[[#This Row],[PEG]],Table1016[#All],3,FALSE)</f>
        <v>#N/A</v>
      </c>
    </row>
    <row r="10" spans="1:5">
      <c r="A10" s="114">
        <v>3</v>
      </c>
      <c r="B10" s="110" t="s">
        <v>115</v>
      </c>
      <c r="C10" s="105" t="e">
        <f>VLOOKUP(Table257519913140106110151155170178204283[[#This Row],[PEG]],Table1016[#All],2,FALSE)</f>
        <v>#N/A</v>
      </c>
      <c r="D10" s="125"/>
      <c r="E10" s="122" t="e">
        <f>VLOOKUP(Table257519913140106110151155170178204283[[#This Row],[PEG]],Table1016[#All],3,FALSE)</f>
        <v>#N/A</v>
      </c>
    </row>
    <row r="11" spans="1:5">
      <c r="A11" s="114">
        <v>4</v>
      </c>
      <c r="B11" s="110" t="s">
        <v>115</v>
      </c>
      <c r="C11" s="105" t="e">
        <f>VLOOKUP(Table257519913140106110151155170178204283[[#This Row],[PEG]],Table1016[#All],2,FALSE)</f>
        <v>#N/A</v>
      </c>
      <c r="D11" s="125"/>
      <c r="E11" s="122" t="e">
        <f>VLOOKUP(Table257519913140106110151155170178204283[[#This Row],[PEG]],Table1016[#All],3,FALSE)</f>
        <v>#N/A</v>
      </c>
    </row>
    <row r="12" spans="1:5">
      <c r="A12" s="114">
        <v>5</v>
      </c>
      <c r="B12" s="110" t="s">
        <v>114</v>
      </c>
      <c r="C12" s="105" t="e">
        <f>VLOOKUP(Table257519913140106110151155170178204283[[#This Row],[PEG]],Table1016[#All],2,FALSE)</f>
        <v>#N/A</v>
      </c>
      <c r="D12" s="125"/>
      <c r="E12" s="122" t="e">
        <f>VLOOKUP(Table257519913140106110151155170178204283[[#This Row],[PEG]],Table1016[#All],3,FALSE)</f>
        <v>#N/A</v>
      </c>
    </row>
    <row r="13" spans="1:5">
      <c r="A13" s="114">
        <v>6</v>
      </c>
      <c r="B13" s="110" t="s">
        <v>115</v>
      </c>
      <c r="C13" s="105" t="e">
        <f>VLOOKUP(Table257519913140106110151155170178204283[[#This Row],[PEG]],Table1016[#All],2,FALSE)</f>
        <v>#N/A</v>
      </c>
      <c r="D13" s="125"/>
      <c r="E13" s="122" t="e">
        <f>VLOOKUP(Table257519913140106110151155170178204283[[#This Row],[PEG]],Table1016[#All],3,FALSE)</f>
        <v>#N/A</v>
      </c>
    </row>
    <row r="14" spans="1:5">
      <c r="A14" s="114">
        <v>7</v>
      </c>
      <c r="B14" s="110" t="s">
        <v>114</v>
      </c>
      <c r="C14" s="105" t="e">
        <f>VLOOKUP(Table257519913140106110151155170178204283[[#This Row],[PEG]],Table1016[#All],2,FALSE)</f>
        <v>#N/A</v>
      </c>
      <c r="D14" s="125"/>
      <c r="E14" s="122" t="e">
        <f>VLOOKUP(Table257519913140106110151155170178204283[[#This Row],[PEG]],Table1016[#All],3,FALSE)</f>
        <v>#N/A</v>
      </c>
    </row>
    <row r="15" spans="1:5">
      <c r="A15" s="114">
        <v>8</v>
      </c>
      <c r="B15" s="110" t="s">
        <v>115</v>
      </c>
      <c r="C15" s="105" t="e">
        <f>VLOOKUP(Table257519913140106110151155170178204283[[#This Row],[PEG]],Table1016[#All],2,FALSE)</f>
        <v>#N/A</v>
      </c>
      <c r="D15" s="112"/>
      <c r="E15" s="122" t="e">
        <f>VLOOKUP(Table257519913140106110151155170178204283[[#This Row],[PEG]],Table1016[#All],3,FALSE)</f>
        <v>#N/A</v>
      </c>
    </row>
    <row r="16" spans="1:5">
      <c r="A16" s="114">
        <v>9</v>
      </c>
      <c r="B16" s="110" t="s">
        <v>12</v>
      </c>
      <c r="C16" s="105" t="e">
        <f>VLOOKUP(Table257519913140106110151155170178204283[[#This Row],[PEG]],Table1016[#All],2,FALSE)</f>
        <v>#N/A</v>
      </c>
      <c r="D16" s="112"/>
      <c r="E16" s="122" t="e">
        <f>VLOOKUP(Table257519913140106110151155170178204283[[#This Row],[PEG]],Table1016[#All],3,FALSE)</f>
        <v>#N/A</v>
      </c>
    </row>
    <row r="17" spans="1:5">
      <c r="A17" s="114">
        <v>10</v>
      </c>
      <c r="B17" s="110" t="s">
        <v>12</v>
      </c>
      <c r="C17" s="105" t="e">
        <f>VLOOKUP(Table257519913140106110151155170178204283[[#This Row],[PEG]],Table1016[#All],2,FALSE)</f>
        <v>#N/A</v>
      </c>
      <c r="D17" s="113"/>
      <c r="E17" s="122" t="e">
        <f>VLOOKUP(Table257519913140106110151155170178204283[[#This Row],[PEG]],Table1016[#All],3,FALSE)</f>
        <v>#N/A</v>
      </c>
    </row>
    <row r="18" spans="1:5">
      <c r="A18" s="114">
        <v>11</v>
      </c>
      <c r="B18" s="110" t="s">
        <v>115</v>
      </c>
      <c r="C18" s="105" t="e">
        <f>VLOOKUP(Table257519913140106110151155170178204283[[#This Row],[PEG]],Table1016[#All],2,FALSE)</f>
        <v>#N/A</v>
      </c>
      <c r="D18" s="113"/>
      <c r="E18" s="122" t="e">
        <f>VLOOKUP(Table257519913140106110151155170178204283[[#This Row],[PEG]],Table1016[#All],3,FALSE)</f>
        <v>#N/A</v>
      </c>
    </row>
    <row r="19" spans="1:5">
      <c r="A19" s="114">
        <v>12</v>
      </c>
      <c r="B19" s="110" t="s">
        <v>115</v>
      </c>
      <c r="C19" s="105" t="e">
        <f>VLOOKUP(Table257519913140106110151155170178204283[[#This Row],[PEG]],Table1016[#All],2,FALSE)</f>
        <v>#N/A</v>
      </c>
      <c r="D19" s="113"/>
      <c r="E19" s="122" t="e">
        <f>VLOOKUP(Table257519913140106110151155170178204283[[#This Row],[PEG]],Table1016[#All],3,FALSE)</f>
        <v>#N/A</v>
      </c>
    </row>
    <row r="20" spans="1:5">
      <c r="A20" s="114">
        <v>13</v>
      </c>
      <c r="B20" s="110" t="s">
        <v>114</v>
      </c>
      <c r="C20" s="105" t="e">
        <f>VLOOKUP(Table257519913140106110151155170178204283[[#This Row],[PEG]],Table1016[#All],2,FALSE)</f>
        <v>#N/A</v>
      </c>
      <c r="D20" s="113"/>
      <c r="E20" s="122" t="e">
        <f>VLOOKUP(Table257519913140106110151155170178204283[[#This Row],[PEG]],Table1016[#All],3,FALSE)</f>
        <v>#N/A</v>
      </c>
    </row>
    <row r="21" spans="1:5">
      <c r="A21" s="114">
        <v>14</v>
      </c>
      <c r="B21" s="110" t="s">
        <v>12</v>
      </c>
      <c r="C21" s="105" t="e">
        <f>VLOOKUP(Table257519913140106110151155170178204283[[#This Row],[PEG]],Table1016[#All],2,FALSE)</f>
        <v>#N/A</v>
      </c>
      <c r="D21" s="113"/>
      <c r="E21" s="122" t="e">
        <f>VLOOKUP(Table257519913140106110151155170178204283[[#This Row],[PEG]],Table1016[#All],3,FALSE)</f>
        <v>#N/A</v>
      </c>
    </row>
    <row r="22" spans="1:5">
      <c r="A22" s="114">
        <v>15</v>
      </c>
      <c r="B22" s="110" t="s">
        <v>12</v>
      </c>
      <c r="C22" s="105" t="e">
        <f>VLOOKUP(Table257519913140106110151155170178204283[[#This Row],[PEG]],Table1016[#All],2,FALSE)</f>
        <v>#N/A</v>
      </c>
      <c r="D22" s="113"/>
      <c r="E22" s="122" t="e">
        <f>VLOOKUP(Table257519913140106110151155170178204283[[#This Row],[PEG]],Table1016[#All],3,FALSE)</f>
        <v>#N/A</v>
      </c>
    </row>
    <row r="23" spans="1:5">
      <c r="A23" s="114">
        <v>16</v>
      </c>
      <c r="B23" s="110" t="s">
        <v>115</v>
      </c>
      <c r="C23" s="105" t="e">
        <f>VLOOKUP(Table257519913140106110151155170178204283[[#This Row],[PEG]],Table1016[#All],2,FALSE)</f>
        <v>#N/A</v>
      </c>
      <c r="D23" s="113"/>
      <c r="E23" s="122" t="e">
        <f>VLOOKUP(Table257519913140106110151155170178204283[[#This Row],[PEG]],Table1016[#All],3,FALSE)</f>
        <v>#N/A</v>
      </c>
    </row>
    <row r="24" spans="1:5">
      <c r="A24" s="114">
        <v>17</v>
      </c>
      <c r="B24" s="110" t="s">
        <v>114</v>
      </c>
      <c r="C24" s="105" t="e">
        <f>VLOOKUP(Table257519913140106110151155170178204283[[#This Row],[PEG]],Table1016[#All],2,FALSE)</f>
        <v>#N/A</v>
      </c>
      <c r="D24" s="113"/>
      <c r="E24" s="122" t="e">
        <f>VLOOKUP(Table257519913140106110151155170178204283[[#This Row],[PEG]],Table1016[#All],3,FALSE)</f>
        <v>#N/A</v>
      </c>
    </row>
    <row r="25" spans="1:5">
      <c r="A25" s="114">
        <v>18</v>
      </c>
      <c r="B25" s="110" t="s">
        <v>12</v>
      </c>
      <c r="C25" s="105" t="e">
        <f>VLOOKUP(Table257519913140106110151155170178204283[[#This Row],[PEG]],Table1016[#All],2,FALSE)</f>
        <v>#N/A</v>
      </c>
      <c r="D25" s="113"/>
      <c r="E25" s="122" t="e">
        <f>VLOOKUP(Table257519913140106110151155170178204283[[#This Row],[PEG]],Table1016[#All],3,FALSE)</f>
        <v>#N/A</v>
      </c>
    </row>
    <row r="26" spans="1:5">
      <c r="A26" s="114">
        <v>19</v>
      </c>
      <c r="B26" s="110" t="s">
        <v>12</v>
      </c>
      <c r="C26" s="105" t="e">
        <f>VLOOKUP(Table257519913140106110151155170178204283[[#This Row],[PEG]],Table1016[#All],2,FALSE)</f>
        <v>#N/A</v>
      </c>
      <c r="D26" s="113"/>
      <c r="E26" s="122" t="e">
        <f>VLOOKUP(Table257519913140106110151155170178204283[[#This Row],[PEG]],Table1016[#All],3,FALSE)</f>
        <v>#N/A</v>
      </c>
    </row>
    <row r="27" spans="1:5">
      <c r="A27" s="114">
        <v>20</v>
      </c>
      <c r="B27" s="110" t="s">
        <v>115</v>
      </c>
      <c r="C27" s="105" t="e">
        <f>VLOOKUP(Table257519913140106110151155170178204283[[#This Row],[PEG]],Table1016[#All],2,FALSE)</f>
        <v>#N/A</v>
      </c>
      <c r="D27" s="113"/>
      <c r="E27" s="122" t="e">
        <f>VLOOKUP(Table257519913140106110151155170178204283[[#This Row],[PEG]],Table1016[#All],3,FALSE)</f>
        <v>#N/A</v>
      </c>
    </row>
    <row r="28" spans="1:5">
      <c r="A28" s="114">
        <v>21</v>
      </c>
      <c r="B28" s="110" t="s">
        <v>114</v>
      </c>
      <c r="C28" s="105" t="e">
        <f>VLOOKUP(Table257519913140106110151155170178204283[[#This Row],[PEG]],Table1016[#All],2,FALSE)</f>
        <v>#N/A</v>
      </c>
      <c r="D28" s="113"/>
      <c r="E28" s="122" t="e">
        <f>VLOOKUP(Table257519913140106110151155170178204283[[#This Row],[PEG]],Table1016[#All],3,FALSE)</f>
        <v>#N/A</v>
      </c>
    </row>
    <row r="29" spans="1:5">
      <c r="A29" s="114">
        <v>22</v>
      </c>
      <c r="B29" s="110" t="s">
        <v>12</v>
      </c>
      <c r="C29" s="105" t="e">
        <f>VLOOKUP(Table257519913140106110151155170178204283[[#This Row],[PEG]],Table1016[#All],2,FALSE)</f>
        <v>#N/A</v>
      </c>
      <c r="D29" s="113"/>
      <c r="E29" s="122" t="e">
        <f>VLOOKUP(Table257519913140106110151155170178204283[[#This Row],[PEG]],Table1016[#All],3,FALSE)</f>
        <v>#N/A</v>
      </c>
    </row>
    <row r="30" spans="1:5">
      <c r="A30" s="114">
        <v>23</v>
      </c>
      <c r="B30" s="110" t="s">
        <v>12</v>
      </c>
      <c r="C30" s="105" t="e">
        <f>VLOOKUP(Table257519913140106110151155170178204283[[#This Row],[PEG]],Table1016[#All],2,FALSE)</f>
        <v>#N/A</v>
      </c>
      <c r="D30" s="113"/>
      <c r="E30" s="122" t="e">
        <f>VLOOKUP(Table257519913140106110151155170178204283[[#This Row],[PEG]],Table1016[#All],3,FALSE)</f>
        <v>#N/A</v>
      </c>
    </row>
    <row r="31" spans="1:5">
      <c r="A31" s="114">
        <v>24</v>
      </c>
      <c r="B31" s="110" t="s">
        <v>115</v>
      </c>
      <c r="C31" s="105" t="e">
        <f>VLOOKUP(Table257519913140106110151155170178204283[[#This Row],[PEG]],Table1016[#All],2,FALSE)</f>
        <v>#N/A</v>
      </c>
      <c r="D31" s="113"/>
      <c r="E31" s="122" t="e">
        <f>VLOOKUP(Table257519913140106110151155170178204283[[#This Row],[PEG]],Table1016[#All],3,FALSE)</f>
        <v>#N/A</v>
      </c>
    </row>
    <row r="32" spans="1:5">
      <c r="A32" s="114">
        <v>25</v>
      </c>
      <c r="B32" s="110" t="s">
        <v>115</v>
      </c>
      <c r="C32" s="105" t="e">
        <f>VLOOKUP(Table257519913140106110151155170178204283[[#This Row],[PEG]],Table1016[#All],2,FALSE)</f>
        <v>#N/A</v>
      </c>
      <c r="D32" s="113"/>
      <c r="E32" s="122" t="e">
        <f>VLOOKUP(Table257519913140106110151155170178204283[[#This Row],[PEG]],Table1016[#All],3,FALSE)</f>
        <v>#N/A</v>
      </c>
    </row>
    <row r="33" spans="1:5">
      <c r="A33" s="114">
        <v>26</v>
      </c>
      <c r="B33" s="110" t="s">
        <v>124</v>
      </c>
      <c r="C33" s="105" t="e">
        <f>VLOOKUP(Table257519913140106110151155170178204283[[#This Row],[PEG]],Table1016[#All],2,FALSE)</f>
        <v>#N/A</v>
      </c>
      <c r="D33" s="113"/>
      <c r="E33" s="122" t="e">
        <f>VLOOKUP(Table257519913140106110151155170178204283[[#This Row],[PEG]],Table1016[#All],3,FALSE)</f>
        <v>#N/A</v>
      </c>
    </row>
    <row r="34" spans="1:5">
      <c r="A34" s="114">
        <v>27</v>
      </c>
      <c r="B34" s="110" t="s">
        <v>115</v>
      </c>
      <c r="C34" s="105" t="e">
        <f>VLOOKUP(Table257519913140106110151155170178204283[[#This Row],[PEG]],Table1016[#All],2,FALSE)</f>
        <v>#N/A</v>
      </c>
      <c r="D34" s="113"/>
      <c r="E34" s="122" t="e">
        <f>VLOOKUP(Table257519913140106110151155170178204283[[#This Row],[PEG]],Table1016[#All],3,FALSE)</f>
        <v>#N/A</v>
      </c>
    </row>
    <row r="35" spans="1:5">
      <c r="A35" s="114">
        <v>28</v>
      </c>
      <c r="B35" s="110" t="s">
        <v>124</v>
      </c>
      <c r="C35" s="105" t="e">
        <f>VLOOKUP(Table257519913140106110151155170178204283[[#This Row],[PEG]],Table1016[#All],2,FALSE)</f>
        <v>#N/A</v>
      </c>
      <c r="D35" s="113"/>
      <c r="E35" s="122" t="e">
        <f>VLOOKUP(Table257519913140106110151155170178204283[[#This Row],[PEG]],Table1016[#All],3,FALSE)</f>
        <v>#N/A</v>
      </c>
    </row>
    <row r="36" spans="1:5">
      <c r="A36" s="114">
        <v>29</v>
      </c>
      <c r="B36" s="110" t="s">
        <v>115</v>
      </c>
      <c r="C36" s="105" t="e">
        <f>VLOOKUP(Table257519913140106110151155170178204283[[#This Row],[PEG]],Table1016[#All],2,FALSE)</f>
        <v>#N/A</v>
      </c>
      <c r="D36" s="113"/>
      <c r="E36" s="122" t="e">
        <f>VLOOKUP(Table257519913140106110151155170178204283[[#This Row],[PEG]],Table1016[#All],3,FALSE)</f>
        <v>#N/A</v>
      </c>
    </row>
    <row r="37" spans="1:5">
      <c r="A37" s="114">
        <v>30</v>
      </c>
      <c r="B37" s="110" t="s">
        <v>12</v>
      </c>
      <c r="C37" s="105" t="e">
        <f>VLOOKUP(Table257519913140106110151155170178204283[[#This Row],[PEG]],Table1016[#All],2,FALSE)</f>
        <v>#N/A</v>
      </c>
      <c r="D37" s="113"/>
      <c r="E37" s="122" t="e">
        <f>VLOOKUP(Table257519913140106110151155170178204283[[#This Row],[PEG]],Table1016[#All],3,FALSE)</f>
        <v>#N/A</v>
      </c>
    </row>
    <row r="38" spans="1:5">
      <c r="A38" s="114">
        <v>31</v>
      </c>
      <c r="B38" s="110" t="s">
        <v>12</v>
      </c>
      <c r="C38" s="105" t="e">
        <f>VLOOKUP(Table257519913140106110151155170178204283[[#This Row],[PEG]],Table1016[#All],2,FALSE)</f>
        <v>#N/A</v>
      </c>
      <c r="D38" s="113"/>
      <c r="E38" s="122" t="e">
        <f>VLOOKUP(Table257519913140106110151155170178204283[[#This Row],[PEG]],Table1016[#All],3,FALSE)</f>
        <v>#N/A</v>
      </c>
    </row>
    <row r="39" spans="1:5">
      <c r="A39" s="114">
        <v>32</v>
      </c>
      <c r="B39" s="110" t="s">
        <v>12</v>
      </c>
      <c r="C39" s="105" t="e">
        <f>VLOOKUP(Table257519913140106110151155170178204283[[#This Row],[PEG]],Table1016[#All],2,FALSE)</f>
        <v>#N/A</v>
      </c>
      <c r="D39" s="113"/>
      <c r="E39" s="122" t="e">
        <f>VLOOKUP(Table257519913140106110151155170178204283[[#This Row],[PEG]],Table1016[#All],3,FALSE)</f>
        <v>#N/A</v>
      </c>
    </row>
    <row r="40" spans="1:5">
      <c r="A40" s="114">
        <v>33</v>
      </c>
      <c r="B40" s="110" t="s">
        <v>12</v>
      </c>
      <c r="C40" s="105" t="e">
        <f>VLOOKUP(Table257519913140106110151155170178204283[[#This Row],[PEG]],Table1016[#All],2,FALSE)</f>
        <v>#N/A</v>
      </c>
      <c r="D40" s="113"/>
      <c r="E40" s="122" t="e">
        <f>VLOOKUP(Table257519913140106110151155170178204283[[#This Row],[PEG]],Table1016[#All],3,FALSE)</f>
        <v>#N/A</v>
      </c>
    </row>
    <row r="41" spans="1:5">
      <c r="A41" s="114">
        <v>34</v>
      </c>
      <c r="B41" s="110" t="s">
        <v>115</v>
      </c>
      <c r="C41" s="105" t="e">
        <f>VLOOKUP(Table257519913140106110151155170178204283[[#This Row],[PEG]],Table1016[#All],2,FALSE)</f>
        <v>#N/A</v>
      </c>
      <c r="D41" s="113"/>
      <c r="E41" s="122" t="e">
        <f>VLOOKUP(Table257519913140106110151155170178204283[[#This Row],[PEG]],Table1016[#All],3,FALSE)</f>
        <v>#N/A</v>
      </c>
    </row>
    <row r="42" spans="1:5">
      <c r="A42" s="114">
        <v>35</v>
      </c>
      <c r="B42" s="110" t="s">
        <v>12</v>
      </c>
      <c r="C42" s="105" t="e">
        <f>VLOOKUP(Table257519913140106110151155170178204283[[#This Row],[PEG]],Table1016[#All],2,FALSE)</f>
        <v>#N/A</v>
      </c>
      <c r="D42" s="111"/>
      <c r="E42" s="122" t="e">
        <f>VLOOKUP(Table257519913140106110151155170178204283[[#This Row],[PEG]],Table1016[#All],3,FALSE)</f>
        <v>#N/A</v>
      </c>
    </row>
    <row r="43" spans="1:5">
      <c r="A43" s="114">
        <v>36</v>
      </c>
      <c r="B43" s="110" t="s">
        <v>115</v>
      </c>
      <c r="C43" s="105" t="e">
        <f>VLOOKUP(Table257519913140106110151155170178204283[[#This Row],[PEG]],Table1016[#All],2,FALSE)</f>
        <v>#N/A</v>
      </c>
      <c r="D43" s="111"/>
      <c r="E43" s="122" t="e">
        <f>VLOOKUP(Table257519913140106110151155170178204283[[#This Row],[PEG]],Table1016[#All],3,FALSE)</f>
        <v>#N/A</v>
      </c>
    </row>
    <row r="44" spans="1:5">
      <c r="A44" s="114">
        <v>37</v>
      </c>
      <c r="B44" s="110" t="s">
        <v>13</v>
      </c>
      <c r="C44" s="17" t="s">
        <v>13</v>
      </c>
      <c r="D44" s="111"/>
      <c r="E44" s="31"/>
    </row>
  </sheetData>
  <mergeCells count="1">
    <mergeCell ref="A1:B1"/>
  </mergeCells>
  <conditionalFormatting sqref="B8:B18">
    <cfRule type="containsText" dxfId="468" priority="1" operator="containsText" text="Hear">
      <formula>NOT(ISERROR(SEARCH("Hear",B8)))</formula>
    </cfRule>
  </conditionalFormatting>
  <conditionalFormatting sqref="B30">
    <cfRule type="containsText" dxfId="467" priority="4" operator="containsText" text="Hear">
      <formula>NOT(ISERROR(SEARCH("Hear",B30)))</formula>
    </cfRule>
  </conditionalFormatting>
  <conditionalFormatting sqref="B43:B44">
    <cfRule type="containsText" dxfId="466" priority="8" operator="containsText" text="Hear">
      <formula>NOT(ISERROR(SEARCH("Hear",B43)))</formula>
    </cfRule>
  </conditionalFormatting>
  <conditionalFormatting sqref="E44">
    <cfRule type="containsText" dxfId="465" priority="6" operator="containsText" text="WEB SERVICE">
      <formula>NOT(ISERROR(SEARCH("WEB SERVICE",E44)))</formula>
    </cfRule>
    <cfRule type="containsText" dxfId="464" priority="7" operator="containsText" text="DB">
      <formula>NOT(ISERROR(SEARCH("DB",E44)))</formula>
    </cfRule>
  </conditionalFormatting>
  <conditionalFormatting sqref="C44">
    <cfRule type="expression" dxfId="463" priority="9">
      <formula>$B44="Dial"</formula>
    </cfRule>
  </conditionalFormatting>
  <conditionalFormatting sqref="C44">
    <cfRule type="expression" dxfId="462" priority="3">
      <formula>$B44="Speak"</formula>
    </cfRule>
  </conditionalFormatting>
  <conditionalFormatting sqref="B19:B29 B31:B35 B42">
    <cfRule type="containsText" dxfId="461" priority="5" operator="containsText" text="Hear">
      <formula>NOT(ISERROR(SEARCH("Hear",B19)))</formula>
    </cfRule>
  </conditionalFormatting>
  <hyperlinks>
    <hyperlink ref="A1" location="'Test Case Overview'!A1" display="Return to Test Case Overview" xr:uid="{00000000-0004-0000-BB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ADEF6078-770F-4F08-8E4D-BC0106ABB48F}">
            <xm:f>'TC1'!$B8="HANGUP"</xm:f>
            <x14:dxf>
              <font>
                <b/>
                <i val="0"/>
              </font>
            </x14:dxf>
          </x14:cfRule>
          <xm:sqref>C8</xm:sqref>
        </x14:conditionalFormatting>
        <x14:conditionalFormatting xmlns:xm="http://schemas.microsoft.com/office/excel/2006/main">
          <x14:cfRule type="expression" priority="3397" id="{ADEF6078-770F-4F08-8E4D-BC0106ABB48F}">
            <xm:f>'TC1'!$B14="HANGUP"</xm:f>
            <x14:dxf>
              <font>
                <b/>
                <i val="0"/>
              </font>
            </x14:dxf>
          </x14:cfRule>
          <xm:sqref>C34:C43</xm:sqref>
        </x14:conditionalFormatting>
        <x14:conditionalFormatting xmlns:xm="http://schemas.microsoft.com/office/excel/2006/main">
          <x14:cfRule type="expression" priority="3398" id="{ADEF6078-770F-4F08-8E4D-BC0106ABB48F}">
            <xm:f>'TC1'!#REF!="HANGUP"</xm:f>
            <x14:dxf>
              <font>
                <b/>
                <i val="0"/>
              </font>
            </x14:dxf>
          </x14:cfRule>
          <xm:sqref>C13:C33</xm:sqref>
        </x14:conditionalFormatting>
        <x14:conditionalFormatting xmlns:xm="http://schemas.microsoft.com/office/excel/2006/main">
          <x14:cfRule type="expression" priority="4625" id="{ADEF6078-770F-4F08-8E4D-BC0106ABB48F}">
            <xm:f>'TC1'!$B10="HANGUP"</xm:f>
            <x14:dxf>
              <font>
                <b/>
                <i val="0"/>
              </font>
            </x14:dxf>
          </x14:cfRule>
          <xm:sqref>C9:C12</xm:sqref>
        </x14:conditionalFormatting>
      </x14:conditionalFormattings>
    </ext>
  </extLst>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C00-000000000000}">
  <sheetPr codeName="Sheet190"/>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TC188</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VLOOKUP(Table257519913140106110151155170178204285[[#This Row],[PEG]],Table1016[#All],2,FALSE)</f>
        <v>#N/A</v>
      </c>
      <c r="D9" s="125"/>
      <c r="E9" s="122" t="e">
        <f>VLOOKUP(Table257519913140106110151155170178204285[[#This Row],[PEG]],Table1016[#All],3,FALSE)</f>
        <v>#N/A</v>
      </c>
    </row>
    <row r="10" spans="1:5">
      <c r="A10" s="114">
        <v>3</v>
      </c>
      <c r="B10" s="110" t="s">
        <v>115</v>
      </c>
      <c r="C10" s="105" t="e">
        <f>VLOOKUP(Table257519913140106110151155170178204285[[#This Row],[PEG]],Table1016[#All],2,FALSE)</f>
        <v>#N/A</v>
      </c>
      <c r="D10" s="125"/>
      <c r="E10" s="122" t="e">
        <f>VLOOKUP(Table257519913140106110151155170178204285[[#This Row],[PEG]],Table1016[#All],3,FALSE)</f>
        <v>#N/A</v>
      </c>
    </row>
    <row r="11" spans="1:5">
      <c r="A11" s="114">
        <v>4</v>
      </c>
      <c r="B11" s="110" t="s">
        <v>115</v>
      </c>
      <c r="C11" s="105" t="e">
        <f>VLOOKUP(Table257519913140106110151155170178204285[[#This Row],[PEG]],Table1016[#All],2,FALSE)</f>
        <v>#N/A</v>
      </c>
      <c r="D11" s="125"/>
      <c r="E11" s="122" t="e">
        <f>VLOOKUP(Table257519913140106110151155170178204285[[#This Row],[PEG]],Table1016[#All],3,FALSE)</f>
        <v>#N/A</v>
      </c>
    </row>
    <row r="12" spans="1:5">
      <c r="A12" s="114">
        <v>5</v>
      </c>
      <c r="B12" s="110" t="s">
        <v>114</v>
      </c>
      <c r="C12" s="105" t="e">
        <f>VLOOKUP(Table257519913140106110151155170178204285[[#This Row],[PEG]],Table1016[#All],2,FALSE)</f>
        <v>#N/A</v>
      </c>
      <c r="D12" s="125"/>
      <c r="E12" s="122" t="e">
        <f>VLOOKUP(Table257519913140106110151155170178204285[[#This Row],[PEG]],Table1016[#All],3,FALSE)</f>
        <v>#N/A</v>
      </c>
    </row>
    <row r="13" spans="1:5">
      <c r="A13" s="114">
        <v>6</v>
      </c>
      <c r="B13" s="110" t="s">
        <v>115</v>
      </c>
      <c r="C13" s="105" t="e">
        <f>VLOOKUP(Table257519913140106110151155170178204285[[#This Row],[PEG]],Table1016[#All],2,FALSE)</f>
        <v>#N/A</v>
      </c>
      <c r="D13" s="125"/>
      <c r="E13" s="122" t="e">
        <f>VLOOKUP(Table257519913140106110151155170178204285[[#This Row],[PEG]],Table1016[#All],3,FALSE)</f>
        <v>#N/A</v>
      </c>
    </row>
    <row r="14" spans="1:5">
      <c r="A14" s="114">
        <v>7</v>
      </c>
      <c r="B14" s="110" t="s">
        <v>114</v>
      </c>
      <c r="C14" s="105" t="e">
        <f>VLOOKUP(Table257519913140106110151155170178204285[[#This Row],[PEG]],Table1016[#All],2,FALSE)</f>
        <v>#N/A</v>
      </c>
      <c r="D14" s="125"/>
      <c r="E14" s="122" t="e">
        <f>VLOOKUP(Table257519913140106110151155170178204285[[#This Row],[PEG]],Table1016[#All],3,FALSE)</f>
        <v>#N/A</v>
      </c>
    </row>
    <row r="15" spans="1:5">
      <c r="A15" s="114">
        <v>8</v>
      </c>
      <c r="B15" s="110" t="s">
        <v>115</v>
      </c>
      <c r="C15" s="105" t="e">
        <f>VLOOKUP(Table257519913140106110151155170178204285[[#This Row],[PEG]],Table1016[#All],2,FALSE)</f>
        <v>#N/A</v>
      </c>
      <c r="D15" s="112"/>
      <c r="E15" s="122" t="e">
        <f>VLOOKUP(Table257519913140106110151155170178204285[[#This Row],[PEG]],Table1016[#All],3,FALSE)</f>
        <v>#N/A</v>
      </c>
    </row>
    <row r="16" spans="1:5">
      <c r="A16" s="114">
        <v>9</v>
      </c>
      <c r="B16" s="110" t="s">
        <v>12</v>
      </c>
      <c r="C16" s="105" t="e">
        <f>VLOOKUP(Table257519913140106110151155170178204285[[#This Row],[PEG]],Table1016[#All],2,FALSE)</f>
        <v>#N/A</v>
      </c>
      <c r="D16" s="112"/>
      <c r="E16" s="122" t="e">
        <f>VLOOKUP(Table257519913140106110151155170178204285[[#This Row],[PEG]],Table1016[#All],3,FALSE)</f>
        <v>#N/A</v>
      </c>
    </row>
    <row r="17" spans="1:5">
      <c r="A17" s="114">
        <v>10</v>
      </c>
      <c r="B17" s="110" t="s">
        <v>12</v>
      </c>
      <c r="C17" s="105" t="e">
        <f>VLOOKUP(Table257519913140106110151155170178204285[[#This Row],[PEG]],Table1016[#All],2,FALSE)</f>
        <v>#N/A</v>
      </c>
      <c r="D17" s="113"/>
      <c r="E17" s="122" t="e">
        <f>VLOOKUP(Table257519913140106110151155170178204285[[#This Row],[PEG]],Table1016[#All],3,FALSE)</f>
        <v>#N/A</v>
      </c>
    </row>
    <row r="18" spans="1:5">
      <c r="A18" s="114">
        <v>11</v>
      </c>
      <c r="B18" s="110" t="s">
        <v>115</v>
      </c>
      <c r="C18" s="105" t="e">
        <f>VLOOKUP(Table257519913140106110151155170178204285[[#This Row],[PEG]],Table1016[#All],2,FALSE)</f>
        <v>#N/A</v>
      </c>
      <c r="D18" s="113"/>
      <c r="E18" s="122" t="e">
        <f>VLOOKUP(Table257519913140106110151155170178204285[[#This Row],[PEG]],Table1016[#All],3,FALSE)</f>
        <v>#N/A</v>
      </c>
    </row>
    <row r="19" spans="1:5">
      <c r="A19" s="114">
        <v>12</v>
      </c>
      <c r="B19" s="110" t="s">
        <v>115</v>
      </c>
      <c r="C19" s="105" t="e">
        <f>VLOOKUP(Table257519913140106110151155170178204285[[#This Row],[PEG]],Table1016[#All],2,FALSE)</f>
        <v>#N/A</v>
      </c>
      <c r="D19" s="113"/>
      <c r="E19" s="122" t="e">
        <f>VLOOKUP(Table257519913140106110151155170178204285[[#This Row],[PEG]],Table1016[#All],3,FALSE)</f>
        <v>#N/A</v>
      </c>
    </row>
    <row r="20" spans="1:5">
      <c r="A20" s="114">
        <v>13</v>
      </c>
      <c r="B20" s="110" t="s">
        <v>114</v>
      </c>
      <c r="C20" s="105" t="e">
        <f>VLOOKUP(Table257519913140106110151155170178204285[[#This Row],[PEG]],Table1016[#All],2,FALSE)</f>
        <v>#N/A</v>
      </c>
      <c r="D20" s="113"/>
      <c r="E20" s="122" t="e">
        <f>VLOOKUP(Table257519913140106110151155170178204285[[#This Row],[PEG]],Table1016[#All],3,FALSE)</f>
        <v>#N/A</v>
      </c>
    </row>
    <row r="21" spans="1:5">
      <c r="A21" s="114">
        <v>14</v>
      </c>
      <c r="B21" s="110" t="s">
        <v>12</v>
      </c>
      <c r="C21" s="105" t="e">
        <f>VLOOKUP(Table257519913140106110151155170178204285[[#This Row],[PEG]],Table1016[#All],2,FALSE)</f>
        <v>#N/A</v>
      </c>
      <c r="D21" s="113"/>
      <c r="E21" s="122" t="e">
        <f>VLOOKUP(Table257519913140106110151155170178204285[[#This Row],[PEG]],Table1016[#All],3,FALSE)</f>
        <v>#N/A</v>
      </c>
    </row>
    <row r="22" spans="1:5">
      <c r="A22" s="114">
        <v>15</v>
      </c>
      <c r="B22" s="110" t="s">
        <v>12</v>
      </c>
      <c r="C22" s="105" t="e">
        <f>VLOOKUP(Table257519913140106110151155170178204285[[#This Row],[PEG]],Table1016[#All],2,FALSE)</f>
        <v>#N/A</v>
      </c>
      <c r="D22" s="113"/>
      <c r="E22" s="122" t="e">
        <f>VLOOKUP(Table257519913140106110151155170178204285[[#This Row],[PEG]],Table1016[#All],3,FALSE)</f>
        <v>#N/A</v>
      </c>
    </row>
    <row r="23" spans="1:5">
      <c r="A23" s="114">
        <v>16</v>
      </c>
      <c r="B23" s="110" t="s">
        <v>115</v>
      </c>
      <c r="C23" s="105" t="e">
        <f>VLOOKUP(Table257519913140106110151155170178204285[[#This Row],[PEG]],Table1016[#All],2,FALSE)</f>
        <v>#N/A</v>
      </c>
      <c r="D23" s="113"/>
      <c r="E23" s="122" t="e">
        <f>VLOOKUP(Table257519913140106110151155170178204285[[#This Row],[PEG]],Table1016[#All],3,FALSE)</f>
        <v>#N/A</v>
      </c>
    </row>
    <row r="24" spans="1:5">
      <c r="A24" s="114">
        <v>17</v>
      </c>
      <c r="B24" s="110" t="s">
        <v>114</v>
      </c>
      <c r="C24" s="105" t="e">
        <f>VLOOKUP(Table257519913140106110151155170178204285[[#This Row],[PEG]],Table1016[#All],2,FALSE)</f>
        <v>#N/A</v>
      </c>
      <c r="D24" s="113"/>
      <c r="E24" s="122" t="e">
        <f>VLOOKUP(Table257519913140106110151155170178204285[[#This Row],[PEG]],Table1016[#All],3,FALSE)</f>
        <v>#N/A</v>
      </c>
    </row>
    <row r="25" spans="1:5">
      <c r="A25" s="114">
        <v>18</v>
      </c>
      <c r="B25" s="110" t="s">
        <v>12</v>
      </c>
      <c r="C25" s="105" t="e">
        <f>VLOOKUP(Table257519913140106110151155170178204285[[#This Row],[PEG]],Table1016[#All],2,FALSE)</f>
        <v>#N/A</v>
      </c>
      <c r="D25" s="113"/>
      <c r="E25" s="122" t="e">
        <f>VLOOKUP(Table257519913140106110151155170178204285[[#This Row],[PEG]],Table1016[#All],3,FALSE)</f>
        <v>#N/A</v>
      </c>
    </row>
    <row r="26" spans="1:5">
      <c r="A26" s="114">
        <v>19</v>
      </c>
      <c r="B26" s="110" t="s">
        <v>12</v>
      </c>
      <c r="C26" s="105" t="e">
        <f>VLOOKUP(Table257519913140106110151155170178204285[[#This Row],[PEG]],Table1016[#All],2,FALSE)</f>
        <v>#N/A</v>
      </c>
      <c r="D26" s="113"/>
      <c r="E26" s="122" t="e">
        <f>VLOOKUP(Table257519913140106110151155170178204285[[#This Row],[PEG]],Table1016[#All],3,FALSE)</f>
        <v>#N/A</v>
      </c>
    </row>
    <row r="27" spans="1:5">
      <c r="A27" s="114">
        <v>20</v>
      </c>
      <c r="B27" s="110" t="s">
        <v>115</v>
      </c>
      <c r="C27" s="105" t="e">
        <f>VLOOKUP(Table257519913140106110151155170178204285[[#This Row],[PEG]],Table1016[#All],2,FALSE)</f>
        <v>#N/A</v>
      </c>
      <c r="D27" s="113"/>
      <c r="E27" s="122" t="e">
        <f>VLOOKUP(Table257519913140106110151155170178204285[[#This Row],[PEG]],Table1016[#All],3,FALSE)</f>
        <v>#N/A</v>
      </c>
    </row>
    <row r="28" spans="1:5">
      <c r="A28" s="114">
        <v>21</v>
      </c>
      <c r="B28" s="110" t="s">
        <v>114</v>
      </c>
      <c r="C28" s="105" t="e">
        <f>VLOOKUP(Table257519913140106110151155170178204285[[#This Row],[PEG]],Table1016[#All],2,FALSE)</f>
        <v>#N/A</v>
      </c>
      <c r="D28" s="113"/>
      <c r="E28" s="122" t="e">
        <f>VLOOKUP(Table257519913140106110151155170178204285[[#This Row],[PEG]],Table1016[#All],3,FALSE)</f>
        <v>#N/A</v>
      </c>
    </row>
    <row r="29" spans="1:5">
      <c r="A29" s="114">
        <v>22</v>
      </c>
      <c r="B29" s="110" t="s">
        <v>12</v>
      </c>
      <c r="C29" s="105" t="e">
        <f>VLOOKUP(Table257519913140106110151155170178204285[[#This Row],[PEG]],Table1016[#All],2,FALSE)</f>
        <v>#N/A</v>
      </c>
      <c r="D29" s="113"/>
      <c r="E29" s="122" t="e">
        <f>VLOOKUP(Table257519913140106110151155170178204285[[#This Row],[PEG]],Table1016[#All],3,FALSE)</f>
        <v>#N/A</v>
      </c>
    </row>
    <row r="30" spans="1:5">
      <c r="A30" s="114">
        <v>23</v>
      </c>
      <c r="B30" s="110" t="s">
        <v>12</v>
      </c>
      <c r="C30" s="105" t="e">
        <f>VLOOKUP(Table257519913140106110151155170178204285[[#This Row],[PEG]],Table1016[#All],2,FALSE)</f>
        <v>#N/A</v>
      </c>
      <c r="D30" s="113"/>
      <c r="E30" s="122" t="e">
        <f>VLOOKUP(Table257519913140106110151155170178204285[[#This Row],[PEG]],Table1016[#All],3,FALSE)</f>
        <v>#N/A</v>
      </c>
    </row>
    <row r="31" spans="1:5">
      <c r="A31" s="114">
        <v>24</v>
      </c>
      <c r="B31" s="110" t="s">
        <v>115</v>
      </c>
      <c r="C31" s="105" t="e">
        <f>VLOOKUP(Table257519913140106110151155170178204285[[#This Row],[PEG]],Table1016[#All],2,FALSE)</f>
        <v>#N/A</v>
      </c>
      <c r="D31" s="113"/>
      <c r="E31" s="122" t="e">
        <f>VLOOKUP(Table257519913140106110151155170178204285[[#This Row],[PEG]],Table1016[#All],3,FALSE)</f>
        <v>#N/A</v>
      </c>
    </row>
    <row r="32" spans="1:5">
      <c r="A32" s="114">
        <v>25</v>
      </c>
      <c r="B32" s="110" t="s">
        <v>115</v>
      </c>
      <c r="C32" s="105" t="e">
        <f>VLOOKUP(Table257519913140106110151155170178204285[[#This Row],[PEG]],Table1016[#All],2,FALSE)</f>
        <v>#N/A</v>
      </c>
      <c r="D32" s="113"/>
      <c r="E32" s="122" t="e">
        <f>VLOOKUP(Table257519913140106110151155170178204285[[#This Row],[PEG]],Table1016[#All],3,FALSE)</f>
        <v>#N/A</v>
      </c>
    </row>
    <row r="33" spans="1:5">
      <c r="A33" s="114">
        <v>26</v>
      </c>
      <c r="B33" s="110" t="s">
        <v>124</v>
      </c>
      <c r="C33" s="105" t="e">
        <f>VLOOKUP(Table257519913140106110151155170178204285[[#This Row],[PEG]],Table1016[#All],2,FALSE)</f>
        <v>#N/A</v>
      </c>
      <c r="D33" s="113"/>
      <c r="E33" s="122" t="e">
        <f>VLOOKUP(Table257519913140106110151155170178204285[[#This Row],[PEG]],Table1016[#All],3,FALSE)</f>
        <v>#N/A</v>
      </c>
    </row>
    <row r="34" spans="1:5">
      <c r="A34" s="114">
        <v>27</v>
      </c>
      <c r="B34" s="110" t="s">
        <v>115</v>
      </c>
      <c r="C34" s="105" t="e">
        <f>VLOOKUP(Table257519913140106110151155170178204285[[#This Row],[PEG]],Table1016[#All],2,FALSE)</f>
        <v>#N/A</v>
      </c>
      <c r="D34" s="113"/>
      <c r="E34" s="122" t="e">
        <f>VLOOKUP(Table257519913140106110151155170178204285[[#This Row],[PEG]],Table1016[#All],3,FALSE)</f>
        <v>#N/A</v>
      </c>
    </row>
    <row r="35" spans="1:5">
      <c r="A35" s="114">
        <v>28</v>
      </c>
      <c r="B35" s="110" t="s">
        <v>124</v>
      </c>
      <c r="C35" s="105" t="e">
        <f>VLOOKUP(Table257519913140106110151155170178204285[[#This Row],[PEG]],Table1016[#All],2,FALSE)</f>
        <v>#N/A</v>
      </c>
      <c r="D35" s="113"/>
      <c r="E35" s="122" t="e">
        <f>VLOOKUP(Table257519913140106110151155170178204285[[#This Row],[PEG]],Table1016[#All],3,FALSE)</f>
        <v>#N/A</v>
      </c>
    </row>
    <row r="36" spans="1:5">
      <c r="A36" s="114">
        <v>29</v>
      </c>
      <c r="B36" s="110" t="s">
        <v>115</v>
      </c>
      <c r="C36" s="105" t="e">
        <f>VLOOKUP(Table257519913140106110151155170178204285[[#This Row],[PEG]],Table1016[#All],2,FALSE)</f>
        <v>#N/A</v>
      </c>
      <c r="D36" s="113"/>
      <c r="E36" s="122" t="e">
        <f>VLOOKUP(Table257519913140106110151155170178204285[[#This Row],[PEG]],Table1016[#All],3,FALSE)</f>
        <v>#N/A</v>
      </c>
    </row>
    <row r="37" spans="1:5">
      <c r="A37" s="114">
        <v>30</v>
      </c>
      <c r="B37" s="110" t="s">
        <v>12</v>
      </c>
      <c r="C37" s="105" t="e">
        <f>VLOOKUP(Table257519913140106110151155170178204285[[#This Row],[PEG]],Table1016[#All],2,FALSE)</f>
        <v>#N/A</v>
      </c>
      <c r="D37" s="113"/>
      <c r="E37" s="122" t="e">
        <f>VLOOKUP(Table257519913140106110151155170178204285[[#This Row],[PEG]],Table1016[#All],3,FALSE)</f>
        <v>#N/A</v>
      </c>
    </row>
    <row r="38" spans="1:5">
      <c r="A38" s="114">
        <v>31</v>
      </c>
      <c r="B38" s="110" t="s">
        <v>12</v>
      </c>
      <c r="C38" s="105" t="e">
        <f>VLOOKUP(Table257519913140106110151155170178204285[[#This Row],[PEG]],Table1016[#All],2,FALSE)</f>
        <v>#N/A</v>
      </c>
      <c r="D38" s="113"/>
      <c r="E38" s="122" t="e">
        <f>VLOOKUP(Table257519913140106110151155170178204285[[#This Row],[PEG]],Table1016[#All],3,FALSE)</f>
        <v>#N/A</v>
      </c>
    </row>
    <row r="39" spans="1:5">
      <c r="A39" s="114">
        <v>32</v>
      </c>
      <c r="B39" s="110" t="s">
        <v>12</v>
      </c>
      <c r="C39" s="105" t="e">
        <f>VLOOKUP(Table257519913140106110151155170178204285[[#This Row],[PEG]],Table1016[#All],2,FALSE)</f>
        <v>#N/A</v>
      </c>
      <c r="D39" s="113"/>
      <c r="E39" s="122" t="e">
        <f>VLOOKUP(Table257519913140106110151155170178204285[[#This Row],[PEG]],Table1016[#All],3,FALSE)</f>
        <v>#N/A</v>
      </c>
    </row>
    <row r="40" spans="1:5">
      <c r="A40" s="114">
        <v>33</v>
      </c>
      <c r="B40" s="110" t="s">
        <v>12</v>
      </c>
      <c r="C40" s="105" t="e">
        <f>VLOOKUP(Table257519913140106110151155170178204285[[#This Row],[PEG]],Table1016[#All],2,FALSE)</f>
        <v>#N/A</v>
      </c>
      <c r="D40" s="113"/>
      <c r="E40" s="122" t="e">
        <f>VLOOKUP(Table257519913140106110151155170178204285[[#This Row],[PEG]],Table1016[#All],3,FALSE)</f>
        <v>#N/A</v>
      </c>
    </row>
    <row r="41" spans="1:5">
      <c r="A41" s="114">
        <v>34</v>
      </c>
      <c r="B41" s="110" t="s">
        <v>115</v>
      </c>
      <c r="C41" s="105" t="e">
        <f>VLOOKUP(Table257519913140106110151155170178204285[[#This Row],[PEG]],Table1016[#All],2,FALSE)</f>
        <v>#N/A</v>
      </c>
      <c r="D41" s="113"/>
      <c r="E41" s="122" t="e">
        <f>VLOOKUP(Table257519913140106110151155170178204285[[#This Row],[PEG]],Table1016[#All],3,FALSE)</f>
        <v>#N/A</v>
      </c>
    </row>
    <row r="42" spans="1:5">
      <c r="A42" s="114">
        <v>35</v>
      </c>
      <c r="B42" s="110" t="s">
        <v>12</v>
      </c>
      <c r="C42" s="105" t="e">
        <f>VLOOKUP(Table257519913140106110151155170178204285[[#This Row],[PEG]],Table1016[#All],2,FALSE)</f>
        <v>#N/A</v>
      </c>
      <c r="D42" s="111"/>
      <c r="E42" s="122" t="e">
        <f>VLOOKUP(Table257519913140106110151155170178204285[[#This Row],[PEG]],Table1016[#All],3,FALSE)</f>
        <v>#N/A</v>
      </c>
    </row>
    <row r="43" spans="1:5">
      <c r="A43" s="114">
        <v>36</v>
      </c>
      <c r="B43" s="110" t="s">
        <v>115</v>
      </c>
      <c r="C43" s="105" t="e">
        <f>VLOOKUP(Table257519913140106110151155170178204285[[#This Row],[PEG]],Table1016[#All],2,FALSE)</f>
        <v>#N/A</v>
      </c>
      <c r="D43" s="111"/>
      <c r="E43" s="122" t="e">
        <f>VLOOKUP(Table257519913140106110151155170178204285[[#This Row],[PEG]],Table1016[#All],3,FALSE)</f>
        <v>#N/A</v>
      </c>
    </row>
    <row r="44" spans="1:5">
      <c r="A44" s="114">
        <v>37</v>
      </c>
      <c r="B44" s="110" t="s">
        <v>13</v>
      </c>
      <c r="C44" s="17" t="s">
        <v>13</v>
      </c>
      <c r="D44" s="111"/>
      <c r="E44" s="31"/>
    </row>
  </sheetData>
  <mergeCells count="1">
    <mergeCell ref="A1:B1"/>
  </mergeCells>
  <conditionalFormatting sqref="B8:B18">
    <cfRule type="containsText" dxfId="447" priority="1" operator="containsText" text="Hear">
      <formula>NOT(ISERROR(SEARCH("Hear",B8)))</formula>
    </cfRule>
  </conditionalFormatting>
  <conditionalFormatting sqref="B30">
    <cfRule type="containsText" dxfId="446" priority="4" operator="containsText" text="Hear">
      <formula>NOT(ISERROR(SEARCH("Hear",B30)))</formula>
    </cfRule>
  </conditionalFormatting>
  <conditionalFormatting sqref="B43:B44">
    <cfRule type="containsText" dxfId="445" priority="8" operator="containsText" text="Hear">
      <formula>NOT(ISERROR(SEARCH("Hear",B43)))</formula>
    </cfRule>
  </conditionalFormatting>
  <conditionalFormatting sqref="E44">
    <cfRule type="containsText" dxfId="444" priority="6" operator="containsText" text="WEB SERVICE">
      <formula>NOT(ISERROR(SEARCH("WEB SERVICE",E44)))</formula>
    </cfRule>
    <cfRule type="containsText" dxfId="443" priority="7" operator="containsText" text="DB">
      <formula>NOT(ISERROR(SEARCH("DB",E44)))</formula>
    </cfRule>
  </conditionalFormatting>
  <conditionalFormatting sqref="C44">
    <cfRule type="expression" dxfId="442" priority="9">
      <formula>$B44="Dial"</formula>
    </cfRule>
  </conditionalFormatting>
  <conditionalFormatting sqref="C44">
    <cfRule type="expression" dxfId="441" priority="3">
      <formula>$B44="Speak"</formula>
    </cfRule>
  </conditionalFormatting>
  <conditionalFormatting sqref="B19:B29 B31:B35 B42">
    <cfRule type="containsText" dxfId="440" priority="5" operator="containsText" text="Hear">
      <formula>NOT(ISERROR(SEARCH("Hear",B19)))</formula>
    </cfRule>
  </conditionalFormatting>
  <hyperlinks>
    <hyperlink ref="A1" location="'Test Case Overview'!A1" display="Return to Test Case Overview" xr:uid="{00000000-0004-0000-BC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267BB730-E69F-426F-898E-033B78667304}">
            <xm:f>'TC1'!$B8="HANGUP"</xm:f>
            <x14:dxf>
              <font>
                <b/>
                <i val="0"/>
              </font>
            </x14:dxf>
          </x14:cfRule>
          <xm:sqref>C8</xm:sqref>
        </x14:conditionalFormatting>
        <x14:conditionalFormatting xmlns:xm="http://schemas.microsoft.com/office/excel/2006/main">
          <x14:cfRule type="expression" priority="3401" id="{267BB730-E69F-426F-898E-033B78667304}">
            <xm:f>'TC1'!$B14="HANGUP"</xm:f>
            <x14:dxf>
              <font>
                <b/>
                <i val="0"/>
              </font>
            </x14:dxf>
          </x14:cfRule>
          <xm:sqref>C34:C43</xm:sqref>
        </x14:conditionalFormatting>
        <x14:conditionalFormatting xmlns:xm="http://schemas.microsoft.com/office/excel/2006/main">
          <x14:cfRule type="expression" priority="3402" id="{267BB730-E69F-426F-898E-033B78667304}">
            <xm:f>'TC1'!#REF!="HANGUP"</xm:f>
            <x14:dxf>
              <font>
                <b/>
                <i val="0"/>
              </font>
            </x14:dxf>
          </x14:cfRule>
          <xm:sqref>C13:C33</xm:sqref>
        </x14:conditionalFormatting>
        <x14:conditionalFormatting xmlns:xm="http://schemas.microsoft.com/office/excel/2006/main">
          <x14:cfRule type="expression" priority="4627" id="{267BB730-E69F-426F-898E-033B78667304}">
            <xm:f>'TC1'!$B10="HANGUP"</xm:f>
            <x14:dxf>
              <font>
                <b/>
                <i val="0"/>
              </font>
            </x14:dxf>
          </x14:cfRule>
          <xm:sqref>C9:C12</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dimension ref="A1:E37"/>
  <sheetViews>
    <sheetView zoomScaleNormal="100" workbookViewId="0">
      <selection activeCell="C27" sqref="C27"/>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TC18</v>
      </c>
    </row>
    <row r="3" spans="1:5">
      <c r="A3" s="100" t="s">
        <v>19</v>
      </c>
      <c r="B3" s="108">
        <f ca="1">VLOOKUP(B2,Table1[#All],2,FALSE)</f>
        <v>0</v>
      </c>
    </row>
    <row r="4" spans="1:5" ht="30">
      <c r="A4" s="109" t="s">
        <v>20</v>
      </c>
      <c r="B4" s="95">
        <f ca="1">VLOOKUP(B2,Table1[#All],4,FALSE)</f>
        <v>0</v>
      </c>
    </row>
    <row r="5" spans="1:5" ht="30">
      <c r="A5" s="100" t="s">
        <v>6</v>
      </c>
      <c r="B5" s="89" t="str">
        <f ca="1">VLOOKUP(B2,Table1[#All],3,FALSE)</f>
        <v>CallStart Main Menu /Payments /more options/Perks</v>
      </c>
    </row>
    <row r="7" spans="1:5" ht="15.75">
      <c r="A7" s="96" t="s">
        <v>7</v>
      </c>
      <c r="B7" s="97" t="s">
        <v>8</v>
      </c>
      <c r="C7" s="98" t="s">
        <v>9</v>
      </c>
      <c r="D7" s="98" t="s">
        <v>14</v>
      </c>
      <c r="E7" s="99" t="s">
        <v>10</v>
      </c>
    </row>
    <row r="8" spans="1:5">
      <c r="A8" s="114">
        <v>1</v>
      </c>
      <c r="B8" s="110" t="s">
        <v>114</v>
      </c>
      <c r="C8" s="124" t="s">
        <v>125</v>
      </c>
      <c r="D8" s="125"/>
      <c r="E8" s="122" t="s">
        <v>11</v>
      </c>
    </row>
    <row r="9" spans="1:5">
      <c r="A9" s="114">
        <v>2</v>
      </c>
      <c r="B9" s="110" t="s">
        <v>115</v>
      </c>
      <c r="C9" s="105" t="str">
        <f>VLOOKUP(Table25755252691013434446[[#This Row],[PEG]],Table1016[#All],2,FALSE)</f>
        <v>CallID.wav Call ID &lt;CallID&gt;</v>
      </c>
      <c r="D9" s="160" t="s">
        <v>477</v>
      </c>
      <c r="E9" s="122" t="str">
        <f>VLOOKUP(Table25755252691013434446[[#This Row],[PEG]],Table1016[#All],3,FALSE)</f>
        <v>TEST</v>
      </c>
    </row>
    <row r="10" spans="1:5" ht="30">
      <c r="A10" s="114">
        <v>3</v>
      </c>
      <c r="B10" s="110" t="s">
        <v>115</v>
      </c>
      <c r="C10" s="105" t="str">
        <f>VLOOKUP(Table25755252691013434446[[#This Row],[PEG]],Table1016[#All],2,FALSE)</f>
        <v>0100.wav Thank you for calling Shell vacations Club, we are glad you called. Please have your account number available for faster service. [To continue in Spanish, press 9]</v>
      </c>
      <c r="D10" s="160">
        <v>100</v>
      </c>
      <c r="E10" s="122" t="str">
        <f>VLOOKUP(Table25755252691013434446[[#This Row],[PEG]],Table1016[#All],3,FALSE)</f>
        <v>PLAY PROMPT</v>
      </c>
    </row>
    <row r="11" spans="1:5" ht="30">
      <c r="A11" s="114">
        <v>4</v>
      </c>
      <c r="B11" s="110" t="s">
        <v>115</v>
      </c>
      <c r="C11" s="105" t="str">
        <f>VLOOKUP(Table25755252691013434446[[#This Row],[PEG]],Table1016[#All],2,FALSE)</f>
        <v>0110-1.wav Which would you like? You can say... reservations, payments &amp; statements, title &amp; ownership changes, or more options.</v>
      </c>
      <c r="D11" s="160">
        <v>110</v>
      </c>
      <c r="E11" s="122" t="str">
        <f>VLOOKUP(Table25755252691013434446[[#This Row],[PEG]],Table1016[#All],3,FALSE)</f>
        <v>MENU PROMPT</v>
      </c>
    </row>
    <row r="12" spans="1:5">
      <c r="A12" s="114">
        <v>5</v>
      </c>
      <c r="B12" s="110" t="s">
        <v>124</v>
      </c>
      <c r="C12" s="105" t="s">
        <v>564</v>
      </c>
      <c r="D12" s="160"/>
      <c r="E12" s="122" t="e">
        <f>VLOOKUP(Table25755252691013434446[[#This Row],[PEG]],Table1016[#All],3,FALSE)</f>
        <v>#N/A</v>
      </c>
    </row>
    <row r="13" spans="1:5" ht="30">
      <c r="A13" s="114">
        <v>6</v>
      </c>
      <c r="B13" s="110" t="s">
        <v>115</v>
      </c>
      <c r="C13" s="105" t="str">
        <f>VLOOKUP(Table25755252691013434446[[#This Row],[PEG]],Table1016[#All],2,FALSE)</f>
        <v>400.wav You can say make a payment, check account status, request a document, or more options. Which would you like?</v>
      </c>
      <c r="D13" s="160">
        <v>400</v>
      </c>
      <c r="E13" s="122" t="str">
        <f>VLOOKUP(Table25755252691013434446[[#This Row],[PEG]],Table1016[#All],3,FALSE)</f>
        <v>MENU PROMPT</v>
      </c>
    </row>
    <row r="14" spans="1:5">
      <c r="A14" s="114">
        <v>7</v>
      </c>
      <c r="B14" s="110" t="s">
        <v>124</v>
      </c>
      <c r="C14" s="105" t="s">
        <v>468</v>
      </c>
      <c r="D14" s="125"/>
      <c r="E14" s="122" t="e">
        <f>VLOOKUP(Table25755252691013434446[[#This Row],[PEG]],Table1016[#All],3,FALSE)</f>
        <v>#N/A</v>
      </c>
    </row>
    <row r="15" spans="1:5" ht="30">
      <c r="A15" s="114">
        <v>8</v>
      </c>
      <c r="B15" s="110" t="s">
        <v>115</v>
      </c>
      <c r="C15" s="105" t="str">
        <f>VLOOKUP(Table25755252691013434446[[#This Row],[PEG]],Table1016[#All],2,FALSE)</f>
        <v>405.wav You can say Perks by Club Wyndham, mailing address, wire transfer information, down payment questions, or speak to a representative. Which would you like?</v>
      </c>
      <c r="D15" s="153">
        <v>405</v>
      </c>
      <c r="E15" s="122" t="str">
        <f>VLOOKUP(Table25755252691013434446[[#This Row],[PEG]],Table1016[#All],3,FALSE)</f>
        <v>MENU PROMPT</v>
      </c>
    </row>
    <row r="16" spans="1:5">
      <c r="A16" s="114">
        <v>9</v>
      </c>
      <c r="B16" s="110" t="s">
        <v>124</v>
      </c>
      <c r="C16" s="105" t="s">
        <v>563</v>
      </c>
      <c r="D16" s="153"/>
      <c r="E16" s="122" t="e">
        <f>VLOOKUP(Table25755252691013434446[[#This Row],[PEG]],Table1016[#All],3,FALSE)</f>
        <v>#N/A</v>
      </c>
    </row>
    <row r="17" spans="1:5">
      <c r="A17" s="114">
        <v>10</v>
      </c>
      <c r="B17" s="110" t="s">
        <v>115</v>
      </c>
      <c r="C17" s="127" t="str">
        <f>VLOOKUP(Table25755252691013434446[[#This Row],[PEG]],Table1016[#All],2,FALSE)</f>
        <v>0900.wav Please hold, while I connect you to a customer service representative.</v>
      </c>
      <c r="D17" s="154">
        <v>900</v>
      </c>
      <c r="E17" s="122" t="str">
        <f>VLOOKUP(Table25755252691013434446[[#This Row],[PEG]],Table1016[#All],3,FALSE)</f>
        <v>PLAY PROMPT</v>
      </c>
    </row>
    <row r="18" spans="1:5">
      <c r="A18" s="114">
        <v>11</v>
      </c>
      <c r="B18" s="110" t="s">
        <v>115</v>
      </c>
      <c r="C18" s="105" t="str">
        <f>VLOOKUP(Table25755252691013434446[[#This Row],[PEG]],Table1016[#All],2,FALSE)</f>
        <v>XferNbr.wav Transfer Number &lt;TransferNbr&gt;</v>
      </c>
      <c r="D18" s="154" t="s">
        <v>480</v>
      </c>
      <c r="E18" s="122" t="str">
        <f>VLOOKUP(Table25755252691013434446[[#This Row],[PEG]],Table1016[#All],3,FALSE)</f>
        <v>TEST</v>
      </c>
    </row>
    <row r="19" spans="1:5">
      <c r="A19" s="114">
        <v>27</v>
      </c>
      <c r="B19" s="110" t="s">
        <v>13</v>
      </c>
      <c r="C19" s="105" t="s">
        <v>13</v>
      </c>
      <c r="D19" s="111"/>
      <c r="E19" s="31"/>
    </row>
    <row r="20" spans="1:5">
      <c r="C20" s="25"/>
      <c r="D20" s="107" t="s">
        <v>0</v>
      </c>
    </row>
    <row r="21" spans="1:5">
      <c r="C21" s="25"/>
    </row>
    <row r="22" spans="1:5">
      <c r="C22" s="25"/>
    </row>
    <row r="23" spans="1:5">
      <c r="C23" s="25"/>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6"/>
    </row>
    <row r="36" spans="3:3">
      <c r="C36" s="26"/>
    </row>
    <row r="37" spans="3:3">
      <c r="C37" s="26"/>
    </row>
  </sheetData>
  <mergeCells count="1">
    <mergeCell ref="A1:B1"/>
  </mergeCells>
  <conditionalFormatting sqref="E19">
    <cfRule type="containsText" dxfId="6192" priority="24" operator="containsText" text="WEB SERVICE">
      <formula>NOT(ISERROR(SEARCH("WEB SERVICE",E19)))</formula>
    </cfRule>
    <cfRule type="containsText" dxfId="6191" priority="25" operator="containsText" text="DB">
      <formula>NOT(ISERROR(SEARCH("DB",E19)))</formula>
    </cfRule>
  </conditionalFormatting>
  <conditionalFormatting sqref="C19:C9976">
    <cfRule type="expression" dxfId="6190" priority="27">
      <formula>$B19="Dial"</formula>
    </cfRule>
    <cfRule type="expression" dxfId="6189" priority="29">
      <formula>$B19="HANGUP"</formula>
    </cfRule>
  </conditionalFormatting>
  <conditionalFormatting sqref="C8">
    <cfRule type="expression" dxfId="6188" priority="1">
      <formula>$B8="Dial"</formula>
    </cfRule>
    <cfRule type="expression" dxfId="6187" priority="2">
      <formula>$B8="HANGUP"</formula>
    </cfRule>
  </conditionalFormatting>
  <conditionalFormatting sqref="B8:B19">
    <cfRule type="containsText" dxfId="6186" priority="5" operator="containsText" text="Hear">
      <formula>NOT(ISERROR(SEARCH("Hear",B8)))</formula>
    </cfRule>
  </conditionalFormatting>
  <conditionalFormatting sqref="C18 C9:C16">
    <cfRule type="expression" dxfId="6185" priority="6">
      <formula>$B9="Dial"</formula>
    </cfRule>
    <cfRule type="expression" dxfId="6184" priority="8">
      <formula>$B9="HANGUP"</formula>
    </cfRule>
  </conditionalFormatting>
  <conditionalFormatting sqref="C9:C16 C18:C19">
    <cfRule type="expression" dxfId="6183" priority="7">
      <formula>$B9="Speak"</formula>
    </cfRule>
  </conditionalFormatting>
  <conditionalFormatting sqref="C17">
    <cfRule type="expression" dxfId="6182" priority="3">
      <formula>$B17="Dial"</formula>
    </cfRule>
    <cfRule type="expression" dxfId="6181" priority="4">
      <formula>$B17="HANGUP"</formula>
    </cfRule>
  </conditionalFormatting>
  <hyperlinks>
    <hyperlink ref="A1" location="'Test Case Overview'!A1" display="Return to Test Case Overview" xr:uid="{00000000-0004-0000-12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33" operator="containsText" text="WEB SERVICE" id="{0B529BBC-7593-466C-97CA-1BF96E4B09FE}">
            <xm:f>NOT(ISERROR(SEARCH("WEB SERVICE",'TC1'!E10)))</xm:f>
            <x14:dxf>
              <font>
                <color rgb="FF9C0006"/>
              </font>
              <fill>
                <patternFill>
                  <bgColor rgb="FFFFC7CE"/>
                </patternFill>
              </fill>
            </x14:dxf>
          </x14:cfRule>
          <x14:cfRule type="containsText" priority="33" operator="containsText" text="DB" id="{9CDDAB4B-85D0-46B2-97D2-4A70F285C333}">
            <xm:f>NOT(ISERROR(SEARCH("DB",'TC1'!E10)))</xm:f>
            <x14:dxf>
              <font>
                <color rgb="FF006100"/>
              </font>
              <fill>
                <patternFill>
                  <bgColor rgb="FFC6EFCE"/>
                </patternFill>
              </fill>
            </x14:dxf>
          </x14:cfRule>
          <xm:sqref>E9:E12</xm:sqref>
        </x14:conditionalFormatting>
        <x14:conditionalFormatting xmlns:xm="http://schemas.microsoft.com/office/excel/2006/main">
          <x14:cfRule type="containsText" priority="771" operator="containsText" text="WEB SERVICE" id="{0B529BBC-7593-466C-97CA-1BF96E4B09FE}">
            <xm:f>NOT(ISERROR(SEARCH("WEB SERVICE",'TC1'!#REF!)))</xm:f>
            <x14:dxf>
              <font>
                <color rgb="FF9C0006"/>
              </font>
              <fill>
                <patternFill>
                  <bgColor rgb="FFFFC7CE"/>
                </patternFill>
              </fill>
            </x14:dxf>
          </x14:cfRule>
          <x14:cfRule type="containsText" priority="772" operator="containsText" text="DB" id="{9CDDAB4B-85D0-46B2-97D2-4A70F285C333}">
            <xm:f>NOT(ISERROR(SEARCH("DB",'TC1'!#REF!)))</xm:f>
            <x14:dxf>
              <font>
                <color rgb="FF006100"/>
              </font>
              <fill>
                <patternFill>
                  <bgColor rgb="FFC6EFCE"/>
                </patternFill>
              </fill>
            </x14:dxf>
          </x14:cfRule>
          <xm:sqref>E13:E18</xm:sqref>
        </x14:conditionalFormatting>
      </x14:conditionalFormattings>
    </ext>
  </extLst>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D00-000000000000}">
  <sheetPr codeName="Sheet191"/>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TC189</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VLOOKUP(Table257519913140106110151155170178204287[[#This Row],[PEG]],Table1016[#All],2,FALSE)</f>
        <v>#N/A</v>
      </c>
      <c r="D9" s="125"/>
      <c r="E9" s="122" t="e">
        <f>VLOOKUP(Table257519913140106110151155170178204287[[#This Row],[PEG]],Table1016[#All],3,FALSE)</f>
        <v>#N/A</v>
      </c>
    </row>
    <row r="10" spans="1:5">
      <c r="A10" s="114">
        <v>3</v>
      </c>
      <c r="B10" s="110" t="s">
        <v>115</v>
      </c>
      <c r="C10" s="105" t="e">
        <f>VLOOKUP(Table257519913140106110151155170178204287[[#This Row],[PEG]],Table1016[#All],2,FALSE)</f>
        <v>#N/A</v>
      </c>
      <c r="D10" s="125"/>
      <c r="E10" s="122" t="e">
        <f>VLOOKUP(Table257519913140106110151155170178204287[[#This Row],[PEG]],Table1016[#All],3,FALSE)</f>
        <v>#N/A</v>
      </c>
    </row>
    <row r="11" spans="1:5">
      <c r="A11" s="114">
        <v>4</v>
      </c>
      <c r="B11" s="110" t="s">
        <v>115</v>
      </c>
      <c r="C11" s="105" t="e">
        <f>VLOOKUP(Table257519913140106110151155170178204287[[#This Row],[PEG]],Table1016[#All],2,FALSE)</f>
        <v>#N/A</v>
      </c>
      <c r="D11" s="125"/>
      <c r="E11" s="122" t="e">
        <f>VLOOKUP(Table257519913140106110151155170178204287[[#This Row],[PEG]],Table1016[#All],3,FALSE)</f>
        <v>#N/A</v>
      </c>
    </row>
    <row r="12" spans="1:5">
      <c r="A12" s="114">
        <v>5</v>
      </c>
      <c r="B12" s="110" t="s">
        <v>114</v>
      </c>
      <c r="C12" s="105" t="e">
        <f>VLOOKUP(Table257519913140106110151155170178204287[[#This Row],[PEG]],Table1016[#All],2,FALSE)</f>
        <v>#N/A</v>
      </c>
      <c r="D12" s="125"/>
      <c r="E12" s="122" t="e">
        <f>VLOOKUP(Table257519913140106110151155170178204287[[#This Row],[PEG]],Table1016[#All],3,FALSE)</f>
        <v>#N/A</v>
      </c>
    </row>
    <row r="13" spans="1:5">
      <c r="A13" s="114">
        <v>6</v>
      </c>
      <c r="B13" s="110" t="s">
        <v>115</v>
      </c>
      <c r="C13" s="105" t="e">
        <f>VLOOKUP(Table257519913140106110151155170178204287[[#This Row],[PEG]],Table1016[#All],2,FALSE)</f>
        <v>#N/A</v>
      </c>
      <c r="D13" s="125"/>
      <c r="E13" s="122" t="e">
        <f>VLOOKUP(Table257519913140106110151155170178204287[[#This Row],[PEG]],Table1016[#All],3,FALSE)</f>
        <v>#N/A</v>
      </c>
    </row>
    <row r="14" spans="1:5">
      <c r="A14" s="114">
        <v>7</v>
      </c>
      <c r="B14" s="110" t="s">
        <v>114</v>
      </c>
      <c r="C14" s="105" t="e">
        <f>VLOOKUP(Table257519913140106110151155170178204287[[#This Row],[PEG]],Table1016[#All],2,FALSE)</f>
        <v>#N/A</v>
      </c>
      <c r="D14" s="125"/>
      <c r="E14" s="122" t="e">
        <f>VLOOKUP(Table257519913140106110151155170178204287[[#This Row],[PEG]],Table1016[#All],3,FALSE)</f>
        <v>#N/A</v>
      </c>
    </row>
    <row r="15" spans="1:5">
      <c r="A15" s="114">
        <v>8</v>
      </c>
      <c r="B15" s="110" t="s">
        <v>115</v>
      </c>
      <c r="C15" s="105" t="e">
        <f>VLOOKUP(Table257519913140106110151155170178204287[[#This Row],[PEG]],Table1016[#All],2,FALSE)</f>
        <v>#N/A</v>
      </c>
      <c r="D15" s="112"/>
      <c r="E15" s="122" t="e">
        <f>VLOOKUP(Table257519913140106110151155170178204287[[#This Row],[PEG]],Table1016[#All],3,FALSE)</f>
        <v>#N/A</v>
      </c>
    </row>
    <row r="16" spans="1:5">
      <c r="A16" s="114">
        <v>9</v>
      </c>
      <c r="B16" s="110" t="s">
        <v>12</v>
      </c>
      <c r="C16" s="105" t="e">
        <f>VLOOKUP(Table257519913140106110151155170178204287[[#This Row],[PEG]],Table1016[#All],2,FALSE)</f>
        <v>#N/A</v>
      </c>
      <c r="D16" s="112"/>
      <c r="E16" s="122" t="e">
        <f>VLOOKUP(Table257519913140106110151155170178204287[[#This Row],[PEG]],Table1016[#All],3,FALSE)</f>
        <v>#N/A</v>
      </c>
    </row>
    <row r="17" spans="1:5">
      <c r="A17" s="114">
        <v>10</v>
      </c>
      <c r="B17" s="110" t="s">
        <v>12</v>
      </c>
      <c r="C17" s="105" t="e">
        <f>VLOOKUP(Table257519913140106110151155170178204287[[#This Row],[PEG]],Table1016[#All],2,FALSE)</f>
        <v>#N/A</v>
      </c>
      <c r="D17" s="113"/>
      <c r="E17" s="122" t="e">
        <f>VLOOKUP(Table257519913140106110151155170178204287[[#This Row],[PEG]],Table1016[#All],3,FALSE)</f>
        <v>#N/A</v>
      </c>
    </row>
    <row r="18" spans="1:5">
      <c r="A18" s="114">
        <v>11</v>
      </c>
      <c r="B18" s="110" t="s">
        <v>115</v>
      </c>
      <c r="C18" s="105" t="e">
        <f>VLOOKUP(Table257519913140106110151155170178204287[[#This Row],[PEG]],Table1016[#All],2,FALSE)</f>
        <v>#N/A</v>
      </c>
      <c r="D18" s="113"/>
      <c r="E18" s="122" t="e">
        <f>VLOOKUP(Table257519913140106110151155170178204287[[#This Row],[PEG]],Table1016[#All],3,FALSE)</f>
        <v>#N/A</v>
      </c>
    </row>
    <row r="19" spans="1:5">
      <c r="A19" s="114">
        <v>12</v>
      </c>
      <c r="B19" s="110" t="s">
        <v>115</v>
      </c>
      <c r="C19" s="105" t="e">
        <f>VLOOKUP(Table257519913140106110151155170178204287[[#This Row],[PEG]],Table1016[#All],2,FALSE)</f>
        <v>#N/A</v>
      </c>
      <c r="D19" s="113"/>
      <c r="E19" s="122" t="e">
        <f>VLOOKUP(Table257519913140106110151155170178204287[[#This Row],[PEG]],Table1016[#All],3,FALSE)</f>
        <v>#N/A</v>
      </c>
    </row>
    <row r="20" spans="1:5">
      <c r="A20" s="114">
        <v>13</v>
      </c>
      <c r="B20" s="110" t="s">
        <v>114</v>
      </c>
      <c r="C20" s="105" t="e">
        <f>VLOOKUP(Table257519913140106110151155170178204287[[#This Row],[PEG]],Table1016[#All],2,FALSE)</f>
        <v>#N/A</v>
      </c>
      <c r="D20" s="113"/>
      <c r="E20" s="122" t="e">
        <f>VLOOKUP(Table257519913140106110151155170178204287[[#This Row],[PEG]],Table1016[#All],3,FALSE)</f>
        <v>#N/A</v>
      </c>
    </row>
    <row r="21" spans="1:5">
      <c r="A21" s="114">
        <v>14</v>
      </c>
      <c r="B21" s="110" t="s">
        <v>12</v>
      </c>
      <c r="C21" s="105" t="e">
        <f>VLOOKUP(Table257519913140106110151155170178204287[[#This Row],[PEG]],Table1016[#All],2,FALSE)</f>
        <v>#N/A</v>
      </c>
      <c r="D21" s="113"/>
      <c r="E21" s="122" t="e">
        <f>VLOOKUP(Table257519913140106110151155170178204287[[#This Row],[PEG]],Table1016[#All],3,FALSE)</f>
        <v>#N/A</v>
      </c>
    </row>
    <row r="22" spans="1:5">
      <c r="A22" s="114">
        <v>15</v>
      </c>
      <c r="B22" s="110" t="s">
        <v>12</v>
      </c>
      <c r="C22" s="105" t="e">
        <f>VLOOKUP(Table257519913140106110151155170178204287[[#This Row],[PEG]],Table1016[#All],2,FALSE)</f>
        <v>#N/A</v>
      </c>
      <c r="D22" s="113"/>
      <c r="E22" s="122" t="e">
        <f>VLOOKUP(Table257519913140106110151155170178204287[[#This Row],[PEG]],Table1016[#All],3,FALSE)</f>
        <v>#N/A</v>
      </c>
    </row>
    <row r="23" spans="1:5">
      <c r="A23" s="114">
        <v>16</v>
      </c>
      <c r="B23" s="110" t="s">
        <v>115</v>
      </c>
      <c r="C23" s="105" t="e">
        <f>VLOOKUP(Table257519913140106110151155170178204287[[#This Row],[PEG]],Table1016[#All],2,FALSE)</f>
        <v>#N/A</v>
      </c>
      <c r="D23" s="113"/>
      <c r="E23" s="122" t="e">
        <f>VLOOKUP(Table257519913140106110151155170178204287[[#This Row],[PEG]],Table1016[#All],3,FALSE)</f>
        <v>#N/A</v>
      </c>
    </row>
    <row r="24" spans="1:5">
      <c r="A24" s="114">
        <v>17</v>
      </c>
      <c r="B24" s="110" t="s">
        <v>114</v>
      </c>
      <c r="C24" s="105" t="e">
        <f>VLOOKUP(Table257519913140106110151155170178204287[[#This Row],[PEG]],Table1016[#All],2,FALSE)</f>
        <v>#N/A</v>
      </c>
      <c r="D24" s="113"/>
      <c r="E24" s="122" t="e">
        <f>VLOOKUP(Table257519913140106110151155170178204287[[#This Row],[PEG]],Table1016[#All],3,FALSE)</f>
        <v>#N/A</v>
      </c>
    </row>
    <row r="25" spans="1:5">
      <c r="A25" s="114">
        <v>18</v>
      </c>
      <c r="B25" s="110" t="s">
        <v>12</v>
      </c>
      <c r="C25" s="105" t="e">
        <f>VLOOKUP(Table257519913140106110151155170178204287[[#This Row],[PEG]],Table1016[#All],2,FALSE)</f>
        <v>#N/A</v>
      </c>
      <c r="D25" s="113"/>
      <c r="E25" s="122" t="e">
        <f>VLOOKUP(Table257519913140106110151155170178204287[[#This Row],[PEG]],Table1016[#All],3,FALSE)</f>
        <v>#N/A</v>
      </c>
    </row>
    <row r="26" spans="1:5">
      <c r="A26" s="114">
        <v>19</v>
      </c>
      <c r="B26" s="110" t="s">
        <v>12</v>
      </c>
      <c r="C26" s="105" t="e">
        <f>VLOOKUP(Table257519913140106110151155170178204287[[#This Row],[PEG]],Table1016[#All],2,FALSE)</f>
        <v>#N/A</v>
      </c>
      <c r="D26" s="113"/>
      <c r="E26" s="122" t="e">
        <f>VLOOKUP(Table257519913140106110151155170178204287[[#This Row],[PEG]],Table1016[#All],3,FALSE)</f>
        <v>#N/A</v>
      </c>
    </row>
    <row r="27" spans="1:5">
      <c r="A27" s="114">
        <v>20</v>
      </c>
      <c r="B27" s="110" t="s">
        <v>115</v>
      </c>
      <c r="C27" s="105" t="e">
        <f>VLOOKUP(Table257519913140106110151155170178204287[[#This Row],[PEG]],Table1016[#All],2,FALSE)</f>
        <v>#N/A</v>
      </c>
      <c r="D27" s="113"/>
      <c r="E27" s="122" t="e">
        <f>VLOOKUP(Table257519913140106110151155170178204287[[#This Row],[PEG]],Table1016[#All],3,FALSE)</f>
        <v>#N/A</v>
      </c>
    </row>
    <row r="28" spans="1:5">
      <c r="A28" s="114">
        <v>21</v>
      </c>
      <c r="B28" s="110" t="s">
        <v>114</v>
      </c>
      <c r="C28" s="105" t="e">
        <f>VLOOKUP(Table257519913140106110151155170178204287[[#This Row],[PEG]],Table1016[#All],2,FALSE)</f>
        <v>#N/A</v>
      </c>
      <c r="D28" s="113"/>
      <c r="E28" s="122" t="e">
        <f>VLOOKUP(Table257519913140106110151155170178204287[[#This Row],[PEG]],Table1016[#All],3,FALSE)</f>
        <v>#N/A</v>
      </c>
    </row>
    <row r="29" spans="1:5">
      <c r="A29" s="114">
        <v>22</v>
      </c>
      <c r="B29" s="110" t="s">
        <v>12</v>
      </c>
      <c r="C29" s="105" t="e">
        <f>VLOOKUP(Table257519913140106110151155170178204287[[#This Row],[PEG]],Table1016[#All],2,FALSE)</f>
        <v>#N/A</v>
      </c>
      <c r="D29" s="113"/>
      <c r="E29" s="122" t="e">
        <f>VLOOKUP(Table257519913140106110151155170178204287[[#This Row],[PEG]],Table1016[#All],3,FALSE)</f>
        <v>#N/A</v>
      </c>
    </row>
    <row r="30" spans="1:5">
      <c r="A30" s="114">
        <v>23</v>
      </c>
      <c r="B30" s="110" t="s">
        <v>12</v>
      </c>
      <c r="C30" s="105" t="e">
        <f>VLOOKUP(Table257519913140106110151155170178204287[[#This Row],[PEG]],Table1016[#All],2,FALSE)</f>
        <v>#N/A</v>
      </c>
      <c r="D30" s="113"/>
      <c r="E30" s="122" t="e">
        <f>VLOOKUP(Table257519913140106110151155170178204287[[#This Row],[PEG]],Table1016[#All],3,FALSE)</f>
        <v>#N/A</v>
      </c>
    </row>
    <row r="31" spans="1:5">
      <c r="A31" s="114">
        <v>24</v>
      </c>
      <c r="B31" s="110" t="s">
        <v>115</v>
      </c>
      <c r="C31" s="105" t="e">
        <f>VLOOKUP(Table257519913140106110151155170178204287[[#This Row],[PEG]],Table1016[#All],2,FALSE)</f>
        <v>#N/A</v>
      </c>
      <c r="D31" s="113"/>
      <c r="E31" s="122" t="e">
        <f>VLOOKUP(Table257519913140106110151155170178204287[[#This Row],[PEG]],Table1016[#All],3,FALSE)</f>
        <v>#N/A</v>
      </c>
    </row>
    <row r="32" spans="1:5">
      <c r="A32" s="114">
        <v>25</v>
      </c>
      <c r="B32" s="110" t="s">
        <v>115</v>
      </c>
      <c r="C32" s="105" t="e">
        <f>VLOOKUP(Table257519913140106110151155170178204287[[#This Row],[PEG]],Table1016[#All],2,FALSE)</f>
        <v>#N/A</v>
      </c>
      <c r="D32" s="113"/>
      <c r="E32" s="122" t="e">
        <f>VLOOKUP(Table257519913140106110151155170178204287[[#This Row],[PEG]],Table1016[#All],3,FALSE)</f>
        <v>#N/A</v>
      </c>
    </row>
    <row r="33" spans="1:5">
      <c r="A33" s="114">
        <v>26</v>
      </c>
      <c r="B33" s="110" t="s">
        <v>124</v>
      </c>
      <c r="C33" s="105" t="e">
        <f>VLOOKUP(Table257519913140106110151155170178204287[[#This Row],[PEG]],Table1016[#All],2,FALSE)</f>
        <v>#N/A</v>
      </c>
      <c r="D33" s="113"/>
      <c r="E33" s="122" t="e">
        <f>VLOOKUP(Table257519913140106110151155170178204287[[#This Row],[PEG]],Table1016[#All],3,FALSE)</f>
        <v>#N/A</v>
      </c>
    </row>
    <row r="34" spans="1:5">
      <c r="A34" s="114">
        <v>27</v>
      </c>
      <c r="B34" s="110" t="s">
        <v>115</v>
      </c>
      <c r="C34" s="105" t="e">
        <f>VLOOKUP(Table257519913140106110151155170178204287[[#This Row],[PEG]],Table1016[#All],2,FALSE)</f>
        <v>#N/A</v>
      </c>
      <c r="D34" s="113"/>
      <c r="E34" s="122" t="e">
        <f>VLOOKUP(Table257519913140106110151155170178204287[[#This Row],[PEG]],Table1016[#All],3,FALSE)</f>
        <v>#N/A</v>
      </c>
    </row>
    <row r="35" spans="1:5">
      <c r="A35" s="114">
        <v>28</v>
      </c>
      <c r="B35" s="110" t="s">
        <v>124</v>
      </c>
      <c r="C35" s="105" t="e">
        <f>VLOOKUP(Table257519913140106110151155170178204287[[#This Row],[PEG]],Table1016[#All],2,FALSE)</f>
        <v>#N/A</v>
      </c>
      <c r="D35" s="113"/>
      <c r="E35" s="122" t="e">
        <f>VLOOKUP(Table257519913140106110151155170178204287[[#This Row],[PEG]],Table1016[#All],3,FALSE)</f>
        <v>#N/A</v>
      </c>
    </row>
    <row r="36" spans="1:5">
      <c r="A36" s="114">
        <v>29</v>
      </c>
      <c r="B36" s="110" t="s">
        <v>115</v>
      </c>
      <c r="C36" s="105" t="e">
        <f>VLOOKUP(Table257519913140106110151155170178204287[[#This Row],[PEG]],Table1016[#All],2,FALSE)</f>
        <v>#N/A</v>
      </c>
      <c r="D36" s="113"/>
      <c r="E36" s="122" t="e">
        <f>VLOOKUP(Table257519913140106110151155170178204287[[#This Row],[PEG]],Table1016[#All],3,FALSE)</f>
        <v>#N/A</v>
      </c>
    </row>
    <row r="37" spans="1:5">
      <c r="A37" s="114">
        <v>30</v>
      </c>
      <c r="B37" s="110" t="s">
        <v>12</v>
      </c>
      <c r="C37" s="105" t="e">
        <f>VLOOKUP(Table257519913140106110151155170178204287[[#This Row],[PEG]],Table1016[#All],2,FALSE)</f>
        <v>#N/A</v>
      </c>
      <c r="D37" s="113"/>
      <c r="E37" s="122" t="e">
        <f>VLOOKUP(Table257519913140106110151155170178204287[[#This Row],[PEG]],Table1016[#All],3,FALSE)</f>
        <v>#N/A</v>
      </c>
    </row>
    <row r="38" spans="1:5">
      <c r="A38" s="114">
        <v>31</v>
      </c>
      <c r="B38" s="110" t="s">
        <v>12</v>
      </c>
      <c r="C38" s="105" t="e">
        <f>VLOOKUP(Table257519913140106110151155170178204287[[#This Row],[PEG]],Table1016[#All],2,FALSE)</f>
        <v>#N/A</v>
      </c>
      <c r="D38" s="113"/>
      <c r="E38" s="122" t="e">
        <f>VLOOKUP(Table257519913140106110151155170178204287[[#This Row],[PEG]],Table1016[#All],3,FALSE)</f>
        <v>#N/A</v>
      </c>
    </row>
    <row r="39" spans="1:5">
      <c r="A39" s="114">
        <v>32</v>
      </c>
      <c r="B39" s="110" t="s">
        <v>12</v>
      </c>
      <c r="C39" s="105" t="e">
        <f>VLOOKUP(Table257519913140106110151155170178204287[[#This Row],[PEG]],Table1016[#All],2,FALSE)</f>
        <v>#N/A</v>
      </c>
      <c r="D39" s="113"/>
      <c r="E39" s="122" t="e">
        <f>VLOOKUP(Table257519913140106110151155170178204287[[#This Row],[PEG]],Table1016[#All],3,FALSE)</f>
        <v>#N/A</v>
      </c>
    </row>
    <row r="40" spans="1:5">
      <c r="A40" s="114">
        <v>33</v>
      </c>
      <c r="B40" s="110" t="s">
        <v>12</v>
      </c>
      <c r="C40" s="105" t="e">
        <f>VLOOKUP(Table257519913140106110151155170178204287[[#This Row],[PEG]],Table1016[#All],2,FALSE)</f>
        <v>#N/A</v>
      </c>
      <c r="D40" s="113"/>
      <c r="E40" s="122" t="e">
        <f>VLOOKUP(Table257519913140106110151155170178204287[[#This Row],[PEG]],Table1016[#All],3,FALSE)</f>
        <v>#N/A</v>
      </c>
    </row>
    <row r="41" spans="1:5">
      <c r="A41" s="114">
        <v>34</v>
      </c>
      <c r="B41" s="110" t="s">
        <v>115</v>
      </c>
      <c r="C41" s="105" t="e">
        <f>VLOOKUP(Table257519913140106110151155170178204287[[#This Row],[PEG]],Table1016[#All],2,FALSE)</f>
        <v>#N/A</v>
      </c>
      <c r="D41" s="113"/>
      <c r="E41" s="122" t="e">
        <f>VLOOKUP(Table257519913140106110151155170178204287[[#This Row],[PEG]],Table1016[#All],3,FALSE)</f>
        <v>#N/A</v>
      </c>
    </row>
    <row r="42" spans="1:5">
      <c r="A42" s="114">
        <v>35</v>
      </c>
      <c r="B42" s="110" t="s">
        <v>12</v>
      </c>
      <c r="C42" s="105" t="e">
        <f>VLOOKUP(Table257519913140106110151155170178204287[[#This Row],[PEG]],Table1016[#All],2,FALSE)</f>
        <v>#N/A</v>
      </c>
      <c r="D42" s="111"/>
      <c r="E42" s="122" t="e">
        <f>VLOOKUP(Table257519913140106110151155170178204287[[#This Row],[PEG]],Table1016[#All],3,FALSE)</f>
        <v>#N/A</v>
      </c>
    </row>
    <row r="43" spans="1:5">
      <c r="A43" s="114">
        <v>36</v>
      </c>
      <c r="B43" s="110" t="s">
        <v>115</v>
      </c>
      <c r="C43" s="105" t="e">
        <f>VLOOKUP(Table257519913140106110151155170178204287[[#This Row],[PEG]],Table1016[#All],2,FALSE)</f>
        <v>#N/A</v>
      </c>
      <c r="D43" s="111"/>
      <c r="E43" s="122" t="e">
        <f>VLOOKUP(Table257519913140106110151155170178204287[[#This Row],[PEG]],Table1016[#All],3,FALSE)</f>
        <v>#N/A</v>
      </c>
    </row>
    <row r="44" spans="1:5">
      <c r="A44" s="114">
        <v>37</v>
      </c>
      <c r="B44" s="110" t="s">
        <v>13</v>
      </c>
      <c r="C44" s="17" t="s">
        <v>13</v>
      </c>
      <c r="D44" s="111"/>
      <c r="E44" s="31"/>
    </row>
  </sheetData>
  <mergeCells count="1">
    <mergeCell ref="A1:B1"/>
  </mergeCells>
  <conditionalFormatting sqref="B8:B18">
    <cfRule type="containsText" dxfId="426" priority="1" operator="containsText" text="Hear">
      <formula>NOT(ISERROR(SEARCH("Hear",B8)))</formula>
    </cfRule>
  </conditionalFormatting>
  <conditionalFormatting sqref="B30">
    <cfRule type="containsText" dxfId="425" priority="4" operator="containsText" text="Hear">
      <formula>NOT(ISERROR(SEARCH("Hear",B30)))</formula>
    </cfRule>
  </conditionalFormatting>
  <conditionalFormatting sqref="B43:B44">
    <cfRule type="containsText" dxfId="424" priority="8" operator="containsText" text="Hear">
      <formula>NOT(ISERROR(SEARCH("Hear",B43)))</formula>
    </cfRule>
  </conditionalFormatting>
  <conditionalFormatting sqref="E44">
    <cfRule type="containsText" dxfId="423" priority="6" operator="containsText" text="WEB SERVICE">
      <formula>NOT(ISERROR(SEARCH("WEB SERVICE",E44)))</formula>
    </cfRule>
    <cfRule type="containsText" dxfId="422" priority="7" operator="containsText" text="DB">
      <formula>NOT(ISERROR(SEARCH("DB",E44)))</formula>
    </cfRule>
  </conditionalFormatting>
  <conditionalFormatting sqref="C44">
    <cfRule type="expression" dxfId="421" priority="9">
      <formula>$B44="Dial"</formula>
    </cfRule>
  </conditionalFormatting>
  <conditionalFormatting sqref="C44">
    <cfRule type="expression" dxfId="420" priority="3">
      <formula>$B44="Speak"</formula>
    </cfRule>
  </conditionalFormatting>
  <conditionalFormatting sqref="B19:B29 B31:B35 B42">
    <cfRule type="containsText" dxfId="419" priority="5" operator="containsText" text="Hear">
      <formula>NOT(ISERROR(SEARCH("Hear",B19)))</formula>
    </cfRule>
  </conditionalFormatting>
  <hyperlinks>
    <hyperlink ref="A1" location="'Test Case Overview'!A1" display="Return to Test Case Overview" xr:uid="{00000000-0004-0000-BD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88EFDF4E-CBA8-4D15-BAE8-7C38011D270E}">
            <xm:f>'TC1'!$B8="HANGUP"</xm:f>
            <x14:dxf>
              <font>
                <b/>
                <i val="0"/>
              </font>
            </x14:dxf>
          </x14:cfRule>
          <xm:sqref>C8</xm:sqref>
        </x14:conditionalFormatting>
        <x14:conditionalFormatting xmlns:xm="http://schemas.microsoft.com/office/excel/2006/main">
          <x14:cfRule type="expression" priority="3405" id="{88EFDF4E-CBA8-4D15-BAE8-7C38011D270E}">
            <xm:f>'TC1'!$B14="HANGUP"</xm:f>
            <x14:dxf>
              <font>
                <b/>
                <i val="0"/>
              </font>
            </x14:dxf>
          </x14:cfRule>
          <xm:sqref>C34:C43</xm:sqref>
        </x14:conditionalFormatting>
        <x14:conditionalFormatting xmlns:xm="http://schemas.microsoft.com/office/excel/2006/main">
          <x14:cfRule type="expression" priority="3406" id="{88EFDF4E-CBA8-4D15-BAE8-7C38011D270E}">
            <xm:f>'TC1'!#REF!="HANGUP"</xm:f>
            <x14:dxf>
              <font>
                <b/>
                <i val="0"/>
              </font>
            </x14:dxf>
          </x14:cfRule>
          <xm:sqref>C13:C33</xm:sqref>
        </x14:conditionalFormatting>
        <x14:conditionalFormatting xmlns:xm="http://schemas.microsoft.com/office/excel/2006/main">
          <x14:cfRule type="expression" priority="4629" id="{88EFDF4E-CBA8-4D15-BAE8-7C38011D270E}">
            <xm:f>'TC1'!$B10="HANGUP"</xm:f>
            <x14:dxf>
              <font>
                <b/>
                <i val="0"/>
              </font>
            </x14:dxf>
          </x14:cfRule>
          <xm:sqref>C9:C12</xm:sqref>
        </x14:conditionalFormatting>
      </x14:conditionalFormattings>
    </ext>
  </extLst>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E00-000000000000}">
  <sheetPr codeName="Sheet192"/>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TC190</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VLOOKUP(Table257519913140106110151155170178204289[[#This Row],[PEG]],Table1016[#All],2,FALSE)</f>
        <v>#N/A</v>
      </c>
      <c r="D9" s="125"/>
      <c r="E9" s="122" t="e">
        <f>VLOOKUP(Table257519913140106110151155170178204289[[#This Row],[PEG]],Table1016[#All],3,FALSE)</f>
        <v>#N/A</v>
      </c>
    </row>
    <row r="10" spans="1:5">
      <c r="A10" s="114">
        <v>3</v>
      </c>
      <c r="B10" s="110" t="s">
        <v>115</v>
      </c>
      <c r="C10" s="105" t="e">
        <f>VLOOKUP(Table257519913140106110151155170178204289[[#This Row],[PEG]],Table1016[#All],2,FALSE)</f>
        <v>#N/A</v>
      </c>
      <c r="D10" s="125"/>
      <c r="E10" s="122" t="e">
        <f>VLOOKUP(Table257519913140106110151155170178204289[[#This Row],[PEG]],Table1016[#All],3,FALSE)</f>
        <v>#N/A</v>
      </c>
    </row>
    <row r="11" spans="1:5">
      <c r="A11" s="114">
        <v>4</v>
      </c>
      <c r="B11" s="110" t="s">
        <v>115</v>
      </c>
      <c r="C11" s="105" t="e">
        <f>VLOOKUP(Table257519913140106110151155170178204289[[#This Row],[PEG]],Table1016[#All],2,FALSE)</f>
        <v>#N/A</v>
      </c>
      <c r="D11" s="125"/>
      <c r="E11" s="122" t="e">
        <f>VLOOKUP(Table257519913140106110151155170178204289[[#This Row],[PEG]],Table1016[#All],3,FALSE)</f>
        <v>#N/A</v>
      </c>
    </row>
    <row r="12" spans="1:5">
      <c r="A12" s="114">
        <v>5</v>
      </c>
      <c r="B12" s="110" t="s">
        <v>114</v>
      </c>
      <c r="C12" s="105" t="e">
        <f>VLOOKUP(Table257519913140106110151155170178204289[[#This Row],[PEG]],Table1016[#All],2,FALSE)</f>
        <v>#N/A</v>
      </c>
      <c r="D12" s="125"/>
      <c r="E12" s="122" t="e">
        <f>VLOOKUP(Table257519913140106110151155170178204289[[#This Row],[PEG]],Table1016[#All],3,FALSE)</f>
        <v>#N/A</v>
      </c>
    </row>
    <row r="13" spans="1:5">
      <c r="A13" s="114">
        <v>6</v>
      </c>
      <c r="B13" s="110" t="s">
        <v>115</v>
      </c>
      <c r="C13" s="105" t="e">
        <f>VLOOKUP(Table257519913140106110151155170178204289[[#This Row],[PEG]],Table1016[#All],2,FALSE)</f>
        <v>#N/A</v>
      </c>
      <c r="D13" s="125"/>
      <c r="E13" s="122" t="e">
        <f>VLOOKUP(Table257519913140106110151155170178204289[[#This Row],[PEG]],Table1016[#All],3,FALSE)</f>
        <v>#N/A</v>
      </c>
    </row>
    <row r="14" spans="1:5">
      <c r="A14" s="114">
        <v>7</v>
      </c>
      <c r="B14" s="110" t="s">
        <v>114</v>
      </c>
      <c r="C14" s="105" t="e">
        <f>VLOOKUP(Table257519913140106110151155170178204289[[#This Row],[PEG]],Table1016[#All],2,FALSE)</f>
        <v>#N/A</v>
      </c>
      <c r="D14" s="125"/>
      <c r="E14" s="122" t="e">
        <f>VLOOKUP(Table257519913140106110151155170178204289[[#This Row],[PEG]],Table1016[#All],3,FALSE)</f>
        <v>#N/A</v>
      </c>
    </row>
    <row r="15" spans="1:5">
      <c r="A15" s="114">
        <v>8</v>
      </c>
      <c r="B15" s="110" t="s">
        <v>115</v>
      </c>
      <c r="C15" s="105" t="e">
        <f>VLOOKUP(Table257519913140106110151155170178204289[[#This Row],[PEG]],Table1016[#All],2,FALSE)</f>
        <v>#N/A</v>
      </c>
      <c r="D15" s="112"/>
      <c r="E15" s="122" t="e">
        <f>VLOOKUP(Table257519913140106110151155170178204289[[#This Row],[PEG]],Table1016[#All],3,FALSE)</f>
        <v>#N/A</v>
      </c>
    </row>
    <row r="16" spans="1:5">
      <c r="A16" s="114">
        <v>9</v>
      </c>
      <c r="B16" s="110" t="s">
        <v>12</v>
      </c>
      <c r="C16" s="105" t="e">
        <f>VLOOKUP(Table257519913140106110151155170178204289[[#This Row],[PEG]],Table1016[#All],2,FALSE)</f>
        <v>#N/A</v>
      </c>
      <c r="D16" s="112"/>
      <c r="E16" s="122" t="e">
        <f>VLOOKUP(Table257519913140106110151155170178204289[[#This Row],[PEG]],Table1016[#All],3,FALSE)</f>
        <v>#N/A</v>
      </c>
    </row>
    <row r="17" spans="1:5">
      <c r="A17" s="114">
        <v>10</v>
      </c>
      <c r="B17" s="110" t="s">
        <v>12</v>
      </c>
      <c r="C17" s="105" t="e">
        <f>VLOOKUP(Table257519913140106110151155170178204289[[#This Row],[PEG]],Table1016[#All],2,FALSE)</f>
        <v>#N/A</v>
      </c>
      <c r="D17" s="113"/>
      <c r="E17" s="122" t="e">
        <f>VLOOKUP(Table257519913140106110151155170178204289[[#This Row],[PEG]],Table1016[#All],3,FALSE)</f>
        <v>#N/A</v>
      </c>
    </row>
    <row r="18" spans="1:5">
      <c r="A18" s="114">
        <v>11</v>
      </c>
      <c r="B18" s="110" t="s">
        <v>115</v>
      </c>
      <c r="C18" s="105" t="e">
        <f>VLOOKUP(Table257519913140106110151155170178204289[[#This Row],[PEG]],Table1016[#All],2,FALSE)</f>
        <v>#N/A</v>
      </c>
      <c r="D18" s="113"/>
      <c r="E18" s="122" t="e">
        <f>VLOOKUP(Table257519913140106110151155170178204289[[#This Row],[PEG]],Table1016[#All],3,FALSE)</f>
        <v>#N/A</v>
      </c>
    </row>
    <row r="19" spans="1:5">
      <c r="A19" s="114">
        <v>12</v>
      </c>
      <c r="B19" s="110" t="s">
        <v>115</v>
      </c>
      <c r="C19" s="105" t="e">
        <f>VLOOKUP(Table257519913140106110151155170178204289[[#This Row],[PEG]],Table1016[#All],2,FALSE)</f>
        <v>#N/A</v>
      </c>
      <c r="D19" s="113"/>
      <c r="E19" s="122" t="e">
        <f>VLOOKUP(Table257519913140106110151155170178204289[[#This Row],[PEG]],Table1016[#All],3,FALSE)</f>
        <v>#N/A</v>
      </c>
    </row>
    <row r="20" spans="1:5">
      <c r="A20" s="114">
        <v>13</v>
      </c>
      <c r="B20" s="110" t="s">
        <v>114</v>
      </c>
      <c r="C20" s="105" t="e">
        <f>VLOOKUP(Table257519913140106110151155170178204289[[#This Row],[PEG]],Table1016[#All],2,FALSE)</f>
        <v>#N/A</v>
      </c>
      <c r="D20" s="113"/>
      <c r="E20" s="122" t="e">
        <f>VLOOKUP(Table257519913140106110151155170178204289[[#This Row],[PEG]],Table1016[#All],3,FALSE)</f>
        <v>#N/A</v>
      </c>
    </row>
    <row r="21" spans="1:5">
      <c r="A21" s="114">
        <v>14</v>
      </c>
      <c r="B21" s="110" t="s">
        <v>12</v>
      </c>
      <c r="C21" s="105" t="e">
        <f>VLOOKUP(Table257519913140106110151155170178204289[[#This Row],[PEG]],Table1016[#All],2,FALSE)</f>
        <v>#N/A</v>
      </c>
      <c r="D21" s="113"/>
      <c r="E21" s="122" t="e">
        <f>VLOOKUP(Table257519913140106110151155170178204289[[#This Row],[PEG]],Table1016[#All],3,FALSE)</f>
        <v>#N/A</v>
      </c>
    </row>
    <row r="22" spans="1:5">
      <c r="A22" s="114">
        <v>15</v>
      </c>
      <c r="B22" s="110" t="s">
        <v>12</v>
      </c>
      <c r="C22" s="105" t="e">
        <f>VLOOKUP(Table257519913140106110151155170178204289[[#This Row],[PEG]],Table1016[#All],2,FALSE)</f>
        <v>#N/A</v>
      </c>
      <c r="D22" s="113"/>
      <c r="E22" s="122" t="e">
        <f>VLOOKUP(Table257519913140106110151155170178204289[[#This Row],[PEG]],Table1016[#All],3,FALSE)</f>
        <v>#N/A</v>
      </c>
    </row>
    <row r="23" spans="1:5">
      <c r="A23" s="114">
        <v>16</v>
      </c>
      <c r="B23" s="110" t="s">
        <v>115</v>
      </c>
      <c r="C23" s="105" t="e">
        <f>VLOOKUP(Table257519913140106110151155170178204289[[#This Row],[PEG]],Table1016[#All],2,FALSE)</f>
        <v>#N/A</v>
      </c>
      <c r="D23" s="113"/>
      <c r="E23" s="122" t="e">
        <f>VLOOKUP(Table257519913140106110151155170178204289[[#This Row],[PEG]],Table1016[#All],3,FALSE)</f>
        <v>#N/A</v>
      </c>
    </row>
    <row r="24" spans="1:5">
      <c r="A24" s="114">
        <v>17</v>
      </c>
      <c r="B24" s="110" t="s">
        <v>114</v>
      </c>
      <c r="C24" s="105" t="e">
        <f>VLOOKUP(Table257519913140106110151155170178204289[[#This Row],[PEG]],Table1016[#All],2,FALSE)</f>
        <v>#N/A</v>
      </c>
      <c r="D24" s="113"/>
      <c r="E24" s="122" t="e">
        <f>VLOOKUP(Table257519913140106110151155170178204289[[#This Row],[PEG]],Table1016[#All],3,FALSE)</f>
        <v>#N/A</v>
      </c>
    </row>
    <row r="25" spans="1:5">
      <c r="A25" s="114">
        <v>18</v>
      </c>
      <c r="B25" s="110" t="s">
        <v>12</v>
      </c>
      <c r="C25" s="105" t="e">
        <f>VLOOKUP(Table257519913140106110151155170178204289[[#This Row],[PEG]],Table1016[#All],2,FALSE)</f>
        <v>#N/A</v>
      </c>
      <c r="D25" s="113"/>
      <c r="E25" s="122" t="e">
        <f>VLOOKUP(Table257519913140106110151155170178204289[[#This Row],[PEG]],Table1016[#All],3,FALSE)</f>
        <v>#N/A</v>
      </c>
    </row>
    <row r="26" spans="1:5">
      <c r="A26" s="114">
        <v>19</v>
      </c>
      <c r="B26" s="110" t="s">
        <v>12</v>
      </c>
      <c r="C26" s="105" t="e">
        <f>VLOOKUP(Table257519913140106110151155170178204289[[#This Row],[PEG]],Table1016[#All],2,FALSE)</f>
        <v>#N/A</v>
      </c>
      <c r="D26" s="113"/>
      <c r="E26" s="122" t="e">
        <f>VLOOKUP(Table257519913140106110151155170178204289[[#This Row],[PEG]],Table1016[#All],3,FALSE)</f>
        <v>#N/A</v>
      </c>
    </row>
    <row r="27" spans="1:5">
      <c r="A27" s="114">
        <v>20</v>
      </c>
      <c r="B27" s="110" t="s">
        <v>115</v>
      </c>
      <c r="C27" s="105" t="e">
        <f>VLOOKUP(Table257519913140106110151155170178204289[[#This Row],[PEG]],Table1016[#All],2,FALSE)</f>
        <v>#N/A</v>
      </c>
      <c r="D27" s="113"/>
      <c r="E27" s="122" t="e">
        <f>VLOOKUP(Table257519913140106110151155170178204289[[#This Row],[PEG]],Table1016[#All],3,FALSE)</f>
        <v>#N/A</v>
      </c>
    </row>
    <row r="28" spans="1:5">
      <c r="A28" s="114">
        <v>21</v>
      </c>
      <c r="B28" s="110" t="s">
        <v>114</v>
      </c>
      <c r="C28" s="105" t="e">
        <f>VLOOKUP(Table257519913140106110151155170178204289[[#This Row],[PEG]],Table1016[#All],2,FALSE)</f>
        <v>#N/A</v>
      </c>
      <c r="D28" s="113"/>
      <c r="E28" s="122" t="e">
        <f>VLOOKUP(Table257519913140106110151155170178204289[[#This Row],[PEG]],Table1016[#All],3,FALSE)</f>
        <v>#N/A</v>
      </c>
    </row>
    <row r="29" spans="1:5">
      <c r="A29" s="114">
        <v>22</v>
      </c>
      <c r="B29" s="110" t="s">
        <v>12</v>
      </c>
      <c r="C29" s="105" t="e">
        <f>VLOOKUP(Table257519913140106110151155170178204289[[#This Row],[PEG]],Table1016[#All],2,FALSE)</f>
        <v>#N/A</v>
      </c>
      <c r="D29" s="113"/>
      <c r="E29" s="122" t="e">
        <f>VLOOKUP(Table257519913140106110151155170178204289[[#This Row],[PEG]],Table1016[#All],3,FALSE)</f>
        <v>#N/A</v>
      </c>
    </row>
    <row r="30" spans="1:5">
      <c r="A30" s="114">
        <v>23</v>
      </c>
      <c r="B30" s="110" t="s">
        <v>12</v>
      </c>
      <c r="C30" s="105" t="e">
        <f>VLOOKUP(Table257519913140106110151155170178204289[[#This Row],[PEG]],Table1016[#All],2,FALSE)</f>
        <v>#N/A</v>
      </c>
      <c r="D30" s="113"/>
      <c r="E30" s="122" t="e">
        <f>VLOOKUP(Table257519913140106110151155170178204289[[#This Row],[PEG]],Table1016[#All],3,FALSE)</f>
        <v>#N/A</v>
      </c>
    </row>
    <row r="31" spans="1:5">
      <c r="A31" s="114">
        <v>24</v>
      </c>
      <c r="B31" s="110" t="s">
        <v>115</v>
      </c>
      <c r="C31" s="105" t="e">
        <f>VLOOKUP(Table257519913140106110151155170178204289[[#This Row],[PEG]],Table1016[#All],2,FALSE)</f>
        <v>#N/A</v>
      </c>
      <c r="D31" s="113"/>
      <c r="E31" s="122" t="e">
        <f>VLOOKUP(Table257519913140106110151155170178204289[[#This Row],[PEG]],Table1016[#All],3,FALSE)</f>
        <v>#N/A</v>
      </c>
    </row>
    <row r="32" spans="1:5">
      <c r="A32" s="114">
        <v>25</v>
      </c>
      <c r="B32" s="110" t="s">
        <v>115</v>
      </c>
      <c r="C32" s="105" t="e">
        <f>VLOOKUP(Table257519913140106110151155170178204289[[#This Row],[PEG]],Table1016[#All],2,FALSE)</f>
        <v>#N/A</v>
      </c>
      <c r="D32" s="113"/>
      <c r="E32" s="122" t="e">
        <f>VLOOKUP(Table257519913140106110151155170178204289[[#This Row],[PEG]],Table1016[#All],3,FALSE)</f>
        <v>#N/A</v>
      </c>
    </row>
    <row r="33" spans="1:5">
      <c r="A33" s="114">
        <v>26</v>
      </c>
      <c r="B33" s="110" t="s">
        <v>124</v>
      </c>
      <c r="C33" s="105" t="e">
        <f>VLOOKUP(Table257519913140106110151155170178204289[[#This Row],[PEG]],Table1016[#All],2,FALSE)</f>
        <v>#N/A</v>
      </c>
      <c r="D33" s="113"/>
      <c r="E33" s="122" t="e">
        <f>VLOOKUP(Table257519913140106110151155170178204289[[#This Row],[PEG]],Table1016[#All],3,FALSE)</f>
        <v>#N/A</v>
      </c>
    </row>
    <row r="34" spans="1:5">
      <c r="A34" s="114">
        <v>27</v>
      </c>
      <c r="B34" s="110" t="s">
        <v>115</v>
      </c>
      <c r="C34" s="105" t="e">
        <f>VLOOKUP(Table257519913140106110151155170178204289[[#This Row],[PEG]],Table1016[#All],2,FALSE)</f>
        <v>#N/A</v>
      </c>
      <c r="D34" s="113"/>
      <c r="E34" s="122" t="e">
        <f>VLOOKUP(Table257519913140106110151155170178204289[[#This Row],[PEG]],Table1016[#All],3,FALSE)</f>
        <v>#N/A</v>
      </c>
    </row>
    <row r="35" spans="1:5">
      <c r="A35" s="114">
        <v>28</v>
      </c>
      <c r="B35" s="110" t="s">
        <v>124</v>
      </c>
      <c r="C35" s="105" t="e">
        <f>VLOOKUP(Table257519913140106110151155170178204289[[#This Row],[PEG]],Table1016[#All],2,FALSE)</f>
        <v>#N/A</v>
      </c>
      <c r="D35" s="113"/>
      <c r="E35" s="122" t="e">
        <f>VLOOKUP(Table257519913140106110151155170178204289[[#This Row],[PEG]],Table1016[#All],3,FALSE)</f>
        <v>#N/A</v>
      </c>
    </row>
    <row r="36" spans="1:5">
      <c r="A36" s="114">
        <v>29</v>
      </c>
      <c r="B36" s="110" t="s">
        <v>115</v>
      </c>
      <c r="C36" s="105" t="e">
        <f>VLOOKUP(Table257519913140106110151155170178204289[[#This Row],[PEG]],Table1016[#All],2,FALSE)</f>
        <v>#N/A</v>
      </c>
      <c r="D36" s="113"/>
      <c r="E36" s="122" t="e">
        <f>VLOOKUP(Table257519913140106110151155170178204289[[#This Row],[PEG]],Table1016[#All],3,FALSE)</f>
        <v>#N/A</v>
      </c>
    </row>
    <row r="37" spans="1:5">
      <c r="A37" s="114">
        <v>30</v>
      </c>
      <c r="B37" s="110" t="s">
        <v>12</v>
      </c>
      <c r="C37" s="105" t="e">
        <f>VLOOKUP(Table257519913140106110151155170178204289[[#This Row],[PEG]],Table1016[#All],2,FALSE)</f>
        <v>#N/A</v>
      </c>
      <c r="D37" s="113"/>
      <c r="E37" s="122" t="e">
        <f>VLOOKUP(Table257519913140106110151155170178204289[[#This Row],[PEG]],Table1016[#All],3,FALSE)</f>
        <v>#N/A</v>
      </c>
    </row>
    <row r="38" spans="1:5">
      <c r="A38" s="114">
        <v>31</v>
      </c>
      <c r="B38" s="110" t="s">
        <v>12</v>
      </c>
      <c r="C38" s="105" t="e">
        <f>VLOOKUP(Table257519913140106110151155170178204289[[#This Row],[PEG]],Table1016[#All],2,FALSE)</f>
        <v>#N/A</v>
      </c>
      <c r="D38" s="113"/>
      <c r="E38" s="122" t="e">
        <f>VLOOKUP(Table257519913140106110151155170178204289[[#This Row],[PEG]],Table1016[#All],3,FALSE)</f>
        <v>#N/A</v>
      </c>
    </row>
    <row r="39" spans="1:5">
      <c r="A39" s="114">
        <v>32</v>
      </c>
      <c r="B39" s="110" t="s">
        <v>12</v>
      </c>
      <c r="C39" s="105" t="e">
        <f>VLOOKUP(Table257519913140106110151155170178204289[[#This Row],[PEG]],Table1016[#All],2,FALSE)</f>
        <v>#N/A</v>
      </c>
      <c r="D39" s="113"/>
      <c r="E39" s="122" t="e">
        <f>VLOOKUP(Table257519913140106110151155170178204289[[#This Row],[PEG]],Table1016[#All],3,FALSE)</f>
        <v>#N/A</v>
      </c>
    </row>
    <row r="40" spans="1:5">
      <c r="A40" s="114">
        <v>33</v>
      </c>
      <c r="B40" s="110" t="s">
        <v>12</v>
      </c>
      <c r="C40" s="105" t="e">
        <f>VLOOKUP(Table257519913140106110151155170178204289[[#This Row],[PEG]],Table1016[#All],2,FALSE)</f>
        <v>#N/A</v>
      </c>
      <c r="D40" s="113"/>
      <c r="E40" s="122" t="e">
        <f>VLOOKUP(Table257519913140106110151155170178204289[[#This Row],[PEG]],Table1016[#All],3,FALSE)</f>
        <v>#N/A</v>
      </c>
    </row>
    <row r="41" spans="1:5">
      <c r="A41" s="114">
        <v>34</v>
      </c>
      <c r="B41" s="110" t="s">
        <v>115</v>
      </c>
      <c r="C41" s="105" t="e">
        <f>VLOOKUP(Table257519913140106110151155170178204289[[#This Row],[PEG]],Table1016[#All],2,FALSE)</f>
        <v>#N/A</v>
      </c>
      <c r="D41" s="113"/>
      <c r="E41" s="122" t="e">
        <f>VLOOKUP(Table257519913140106110151155170178204289[[#This Row],[PEG]],Table1016[#All],3,FALSE)</f>
        <v>#N/A</v>
      </c>
    </row>
    <row r="42" spans="1:5">
      <c r="A42" s="114">
        <v>35</v>
      </c>
      <c r="B42" s="110" t="s">
        <v>12</v>
      </c>
      <c r="C42" s="105" t="e">
        <f>VLOOKUP(Table257519913140106110151155170178204289[[#This Row],[PEG]],Table1016[#All],2,FALSE)</f>
        <v>#N/A</v>
      </c>
      <c r="D42" s="111"/>
      <c r="E42" s="122" t="e">
        <f>VLOOKUP(Table257519913140106110151155170178204289[[#This Row],[PEG]],Table1016[#All],3,FALSE)</f>
        <v>#N/A</v>
      </c>
    </row>
    <row r="43" spans="1:5">
      <c r="A43" s="114">
        <v>36</v>
      </c>
      <c r="B43" s="110" t="s">
        <v>115</v>
      </c>
      <c r="C43" s="105" t="e">
        <f>VLOOKUP(Table257519913140106110151155170178204289[[#This Row],[PEG]],Table1016[#All],2,FALSE)</f>
        <v>#N/A</v>
      </c>
      <c r="D43" s="111"/>
      <c r="E43" s="122" t="e">
        <f>VLOOKUP(Table257519913140106110151155170178204289[[#This Row],[PEG]],Table1016[#All],3,FALSE)</f>
        <v>#N/A</v>
      </c>
    </row>
    <row r="44" spans="1:5">
      <c r="A44" s="114">
        <v>37</v>
      </c>
      <c r="B44" s="110" t="s">
        <v>13</v>
      </c>
      <c r="C44" s="17" t="s">
        <v>13</v>
      </c>
      <c r="D44" s="111"/>
      <c r="E44" s="31"/>
    </row>
  </sheetData>
  <mergeCells count="1">
    <mergeCell ref="A1:B1"/>
  </mergeCells>
  <conditionalFormatting sqref="B8:B18">
    <cfRule type="containsText" dxfId="405" priority="1" operator="containsText" text="Hear">
      <formula>NOT(ISERROR(SEARCH("Hear",B8)))</formula>
    </cfRule>
  </conditionalFormatting>
  <conditionalFormatting sqref="B30">
    <cfRule type="containsText" dxfId="404" priority="4" operator="containsText" text="Hear">
      <formula>NOT(ISERROR(SEARCH("Hear",B30)))</formula>
    </cfRule>
  </conditionalFormatting>
  <conditionalFormatting sqref="B43:B44">
    <cfRule type="containsText" dxfId="403" priority="8" operator="containsText" text="Hear">
      <formula>NOT(ISERROR(SEARCH("Hear",B43)))</formula>
    </cfRule>
  </conditionalFormatting>
  <conditionalFormatting sqref="E44">
    <cfRule type="containsText" dxfId="402" priority="6" operator="containsText" text="WEB SERVICE">
      <formula>NOT(ISERROR(SEARCH("WEB SERVICE",E44)))</formula>
    </cfRule>
    <cfRule type="containsText" dxfId="401" priority="7" operator="containsText" text="DB">
      <formula>NOT(ISERROR(SEARCH("DB",E44)))</formula>
    </cfRule>
  </conditionalFormatting>
  <conditionalFormatting sqref="C44">
    <cfRule type="expression" dxfId="400" priority="9">
      <formula>$B44="Dial"</formula>
    </cfRule>
  </conditionalFormatting>
  <conditionalFormatting sqref="C44">
    <cfRule type="expression" dxfId="399" priority="3">
      <formula>$B44="Speak"</formula>
    </cfRule>
  </conditionalFormatting>
  <conditionalFormatting sqref="B19:B29 B31:B35 B42">
    <cfRule type="containsText" dxfId="398" priority="5" operator="containsText" text="Hear">
      <formula>NOT(ISERROR(SEARCH("Hear",B19)))</formula>
    </cfRule>
  </conditionalFormatting>
  <hyperlinks>
    <hyperlink ref="A1" location="'Test Case Overview'!A1" display="Return to Test Case Overview" xr:uid="{00000000-0004-0000-BE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FE4EC33A-35FA-4044-85D9-73E398FDC255}">
            <xm:f>'TC1'!$B8="HANGUP"</xm:f>
            <x14:dxf>
              <font>
                <b/>
                <i val="0"/>
              </font>
            </x14:dxf>
          </x14:cfRule>
          <xm:sqref>C8</xm:sqref>
        </x14:conditionalFormatting>
        <x14:conditionalFormatting xmlns:xm="http://schemas.microsoft.com/office/excel/2006/main">
          <x14:cfRule type="expression" priority="3409" id="{FE4EC33A-35FA-4044-85D9-73E398FDC255}">
            <xm:f>'TC1'!$B14="HANGUP"</xm:f>
            <x14:dxf>
              <font>
                <b/>
                <i val="0"/>
              </font>
            </x14:dxf>
          </x14:cfRule>
          <xm:sqref>C34:C43</xm:sqref>
        </x14:conditionalFormatting>
        <x14:conditionalFormatting xmlns:xm="http://schemas.microsoft.com/office/excel/2006/main">
          <x14:cfRule type="expression" priority="3410" id="{FE4EC33A-35FA-4044-85D9-73E398FDC255}">
            <xm:f>'TC1'!#REF!="HANGUP"</xm:f>
            <x14:dxf>
              <font>
                <b/>
                <i val="0"/>
              </font>
            </x14:dxf>
          </x14:cfRule>
          <xm:sqref>C13:C33</xm:sqref>
        </x14:conditionalFormatting>
        <x14:conditionalFormatting xmlns:xm="http://schemas.microsoft.com/office/excel/2006/main">
          <x14:cfRule type="expression" priority="4631" id="{FE4EC33A-35FA-4044-85D9-73E398FDC255}">
            <xm:f>'TC1'!$B10="HANGUP"</xm:f>
            <x14:dxf>
              <font>
                <b/>
                <i val="0"/>
              </font>
            </x14:dxf>
          </x14:cfRule>
          <xm:sqref>C9:C12</xm:sqref>
        </x14:conditionalFormatting>
      </x14:conditionalFormattings>
    </ext>
  </extLst>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F00-000000000000}">
  <sheetPr codeName="Sheet193"/>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TC191</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VLOOKUP(Table257519913140106110151155170178204291[[#This Row],[PEG]],Table1016[#All],2,FALSE)</f>
        <v>#N/A</v>
      </c>
      <c r="D9" s="125"/>
      <c r="E9" s="122" t="e">
        <f>VLOOKUP(Table257519913140106110151155170178204291[[#This Row],[PEG]],Table1016[#All],3,FALSE)</f>
        <v>#N/A</v>
      </c>
    </row>
    <row r="10" spans="1:5">
      <c r="A10" s="114">
        <v>3</v>
      </c>
      <c r="B10" s="110" t="s">
        <v>115</v>
      </c>
      <c r="C10" s="105" t="e">
        <f>VLOOKUP(Table257519913140106110151155170178204291[[#This Row],[PEG]],Table1016[#All],2,FALSE)</f>
        <v>#N/A</v>
      </c>
      <c r="D10" s="125"/>
      <c r="E10" s="122" t="e">
        <f>VLOOKUP(Table257519913140106110151155170178204291[[#This Row],[PEG]],Table1016[#All],3,FALSE)</f>
        <v>#N/A</v>
      </c>
    </row>
    <row r="11" spans="1:5">
      <c r="A11" s="114">
        <v>4</v>
      </c>
      <c r="B11" s="110" t="s">
        <v>115</v>
      </c>
      <c r="C11" s="105" t="e">
        <f>VLOOKUP(Table257519913140106110151155170178204291[[#This Row],[PEG]],Table1016[#All],2,FALSE)</f>
        <v>#N/A</v>
      </c>
      <c r="D11" s="125"/>
      <c r="E11" s="122" t="e">
        <f>VLOOKUP(Table257519913140106110151155170178204291[[#This Row],[PEG]],Table1016[#All],3,FALSE)</f>
        <v>#N/A</v>
      </c>
    </row>
    <row r="12" spans="1:5">
      <c r="A12" s="114">
        <v>5</v>
      </c>
      <c r="B12" s="110" t="s">
        <v>114</v>
      </c>
      <c r="C12" s="105" t="e">
        <f>VLOOKUP(Table257519913140106110151155170178204291[[#This Row],[PEG]],Table1016[#All],2,FALSE)</f>
        <v>#N/A</v>
      </c>
      <c r="D12" s="125"/>
      <c r="E12" s="122" t="e">
        <f>VLOOKUP(Table257519913140106110151155170178204291[[#This Row],[PEG]],Table1016[#All],3,FALSE)</f>
        <v>#N/A</v>
      </c>
    </row>
    <row r="13" spans="1:5">
      <c r="A13" s="114">
        <v>6</v>
      </c>
      <c r="B13" s="110" t="s">
        <v>115</v>
      </c>
      <c r="C13" s="105" t="e">
        <f>VLOOKUP(Table257519913140106110151155170178204291[[#This Row],[PEG]],Table1016[#All],2,FALSE)</f>
        <v>#N/A</v>
      </c>
      <c r="D13" s="125"/>
      <c r="E13" s="122" t="e">
        <f>VLOOKUP(Table257519913140106110151155170178204291[[#This Row],[PEG]],Table1016[#All],3,FALSE)</f>
        <v>#N/A</v>
      </c>
    </row>
    <row r="14" spans="1:5">
      <c r="A14" s="114">
        <v>7</v>
      </c>
      <c r="B14" s="110" t="s">
        <v>114</v>
      </c>
      <c r="C14" s="105" t="e">
        <f>VLOOKUP(Table257519913140106110151155170178204291[[#This Row],[PEG]],Table1016[#All],2,FALSE)</f>
        <v>#N/A</v>
      </c>
      <c r="D14" s="125"/>
      <c r="E14" s="122" t="e">
        <f>VLOOKUP(Table257519913140106110151155170178204291[[#This Row],[PEG]],Table1016[#All],3,FALSE)</f>
        <v>#N/A</v>
      </c>
    </row>
    <row r="15" spans="1:5">
      <c r="A15" s="114">
        <v>8</v>
      </c>
      <c r="B15" s="110" t="s">
        <v>115</v>
      </c>
      <c r="C15" s="105" t="e">
        <f>VLOOKUP(Table257519913140106110151155170178204291[[#This Row],[PEG]],Table1016[#All],2,FALSE)</f>
        <v>#N/A</v>
      </c>
      <c r="D15" s="112"/>
      <c r="E15" s="122" t="e">
        <f>VLOOKUP(Table257519913140106110151155170178204291[[#This Row],[PEG]],Table1016[#All],3,FALSE)</f>
        <v>#N/A</v>
      </c>
    </row>
    <row r="16" spans="1:5">
      <c r="A16" s="114">
        <v>9</v>
      </c>
      <c r="B16" s="110" t="s">
        <v>12</v>
      </c>
      <c r="C16" s="105" t="e">
        <f>VLOOKUP(Table257519913140106110151155170178204291[[#This Row],[PEG]],Table1016[#All],2,FALSE)</f>
        <v>#N/A</v>
      </c>
      <c r="D16" s="112"/>
      <c r="E16" s="122" t="e">
        <f>VLOOKUP(Table257519913140106110151155170178204291[[#This Row],[PEG]],Table1016[#All],3,FALSE)</f>
        <v>#N/A</v>
      </c>
    </row>
    <row r="17" spans="1:5">
      <c r="A17" s="114">
        <v>10</v>
      </c>
      <c r="B17" s="110" t="s">
        <v>12</v>
      </c>
      <c r="C17" s="105" t="e">
        <f>VLOOKUP(Table257519913140106110151155170178204291[[#This Row],[PEG]],Table1016[#All],2,FALSE)</f>
        <v>#N/A</v>
      </c>
      <c r="D17" s="113"/>
      <c r="E17" s="122" t="e">
        <f>VLOOKUP(Table257519913140106110151155170178204291[[#This Row],[PEG]],Table1016[#All],3,FALSE)</f>
        <v>#N/A</v>
      </c>
    </row>
    <row r="18" spans="1:5">
      <c r="A18" s="114">
        <v>11</v>
      </c>
      <c r="B18" s="110" t="s">
        <v>115</v>
      </c>
      <c r="C18" s="105" t="e">
        <f>VLOOKUP(Table257519913140106110151155170178204291[[#This Row],[PEG]],Table1016[#All],2,FALSE)</f>
        <v>#N/A</v>
      </c>
      <c r="D18" s="113"/>
      <c r="E18" s="122" t="e">
        <f>VLOOKUP(Table257519913140106110151155170178204291[[#This Row],[PEG]],Table1016[#All],3,FALSE)</f>
        <v>#N/A</v>
      </c>
    </row>
    <row r="19" spans="1:5">
      <c r="A19" s="114">
        <v>12</v>
      </c>
      <c r="B19" s="110" t="s">
        <v>115</v>
      </c>
      <c r="C19" s="105" t="e">
        <f>VLOOKUP(Table257519913140106110151155170178204291[[#This Row],[PEG]],Table1016[#All],2,FALSE)</f>
        <v>#N/A</v>
      </c>
      <c r="D19" s="113"/>
      <c r="E19" s="122" t="e">
        <f>VLOOKUP(Table257519913140106110151155170178204291[[#This Row],[PEG]],Table1016[#All],3,FALSE)</f>
        <v>#N/A</v>
      </c>
    </row>
    <row r="20" spans="1:5">
      <c r="A20" s="114">
        <v>13</v>
      </c>
      <c r="B20" s="110" t="s">
        <v>114</v>
      </c>
      <c r="C20" s="105" t="e">
        <f>VLOOKUP(Table257519913140106110151155170178204291[[#This Row],[PEG]],Table1016[#All],2,FALSE)</f>
        <v>#N/A</v>
      </c>
      <c r="D20" s="113"/>
      <c r="E20" s="122" t="e">
        <f>VLOOKUP(Table257519913140106110151155170178204291[[#This Row],[PEG]],Table1016[#All],3,FALSE)</f>
        <v>#N/A</v>
      </c>
    </row>
    <row r="21" spans="1:5">
      <c r="A21" s="114">
        <v>14</v>
      </c>
      <c r="B21" s="110" t="s">
        <v>12</v>
      </c>
      <c r="C21" s="105" t="e">
        <f>VLOOKUP(Table257519913140106110151155170178204291[[#This Row],[PEG]],Table1016[#All],2,FALSE)</f>
        <v>#N/A</v>
      </c>
      <c r="D21" s="113"/>
      <c r="E21" s="122" t="e">
        <f>VLOOKUP(Table257519913140106110151155170178204291[[#This Row],[PEG]],Table1016[#All],3,FALSE)</f>
        <v>#N/A</v>
      </c>
    </row>
    <row r="22" spans="1:5">
      <c r="A22" s="114">
        <v>15</v>
      </c>
      <c r="B22" s="110" t="s">
        <v>12</v>
      </c>
      <c r="C22" s="105" t="e">
        <f>VLOOKUP(Table257519913140106110151155170178204291[[#This Row],[PEG]],Table1016[#All],2,FALSE)</f>
        <v>#N/A</v>
      </c>
      <c r="D22" s="113"/>
      <c r="E22" s="122" t="e">
        <f>VLOOKUP(Table257519913140106110151155170178204291[[#This Row],[PEG]],Table1016[#All],3,FALSE)</f>
        <v>#N/A</v>
      </c>
    </row>
    <row r="23" spans="1:5">
      <c r="A23" s="114">
        <v>16</v>
      </c>
      <c r="B23" s="110" t="s">
        <v>115</v>
      </c>
      <c r="C23" s="105" t="e">
        <f>VLOOKUP(Table257519913140106110151155170178204291[[#This Row],[PEG]],Table1016[#All],2,FALSE)</f>
        <v>#N/A</v>
      </c>
      <c r="D23" s="113"/>
      <c r="E23" s="122" t="e">
        <f>VLOOKUP(Table257519913140106110151155170178204291[[#This Row],[PEG]],Table1016[#All],3,FALSE)</f>
        <v>#N/A</v>
      </c>
    </row>
    <row r="24" spans="1:5">
      <c r="A24" s="114">
        <v>17</v>
      </c>
      <c r="B24" s="110" t="s">
        <v>114</v>
      </c>
      <c r="C24" s="105" t="e">
        <f>VLOOKUP(Table257519913140106110151155170178204291[[#This Row],[PEG]],Table1016[#All],2,FALSE)</f>
        <v>#N/A</v>
      </c>
      <c r="D24" s="113"/>
      <c r="E24" s="122" t="e">
        <f>VLOOKUP(Table257519913140106110151155170178204291[[#This Row],[PEG]],Table1016[#All],3,FALSE)</f>
        <v>#N/A</v>
      </c>
    </row>
    <row r="25" spans="1:5">
      <c r="A25" s="114">
        <v>18</v>
      </c>
      <c r="B25" s="110" t="s">
        <v>12</v>
      </c>
      <c r="C25" s="105" t="e">
        <f>VLOOKUP(Table257519913140106110151155170178204291[[#This Row],[PEG]],Table1016[#All],2,FALSE)</f>
        <v>#N/A</v>
      </c>
      <c r="D25" s="113"/>
      <c r="E25" s="122" t="e">
        <f>VLOOKUP(Table257519913140106110151155170178204291[[#This Row],[PEG]],Table1016[#All],3,FALSE)</f>
        <v>#N/A</v>
      </c>
    </row>
    <row r="26" spans="1:5">
      <c r="A26" s="114">
        <v>19</v>
      </c>
      <c r="B26" s="110" t="s">
        <v>12</v>
      </c>
      <c r="C26" s="105" t="e">
        <f>VLOOKUP(Table257519913140106110151155170178204291[[#This Row],[PEG]],Table1016[#All],2,FALSE)</f>
        <v>#N/A</v>
      </c>
      <c r="D26" s="113"/>
      <c r="E26" s="122" t="e">
        <f>VLOOKUP(Table257519913140106110151155170178204291[[#This Row],[PEG]],Table1016[#All],3,FALSE)</f>
        <v>#N/A</v>
      </c>
    </row>
    <row r="27" spans="1:5">
      <c r="A27" s="114">
        <v>20</v>
      </c>
      <c r="B27" s="110" t="s">
        <v>115</v>
      </c>
      <c r="C27" s="105" t="e">
        <f>VLOOKUP(Table257519913140106110151155170178204291[[#This Row],[PEG]],Table1016[#All],2,FALSE)</f>
        <v>#N/A</v>
      </c>
      <c r="D27" s="113"/>
      <c r="E27" s="122" t="e">
        <f>VLOOKUP(Table257519913140106110151155170178204291[[#This Row],[PEG]],Table1016[#All],3,FALSE)</f>
        <v>#N/A</v>
      </c>
    </row>
    <row r="28" spans="1:5">
      <c r="A28" s="114">
        <v>21</v>
      </c>
      <c r="B28" s="110" t="s">
        <v>114</v>
      </c>
      <c r="C28" s="105" t="e">
        <f>VLOOKUP(Table257519913140106110151155170178204291[[#This Row],[PEG]],Table1016[#All],2,FALSE)</f>
        <v>#N/A</v>
      </c>
      <c r="D28" s="113"/>
      <c r="E28" s="122" t="e">
        <f>VLOOKUP(Table257519913140106110151155170178204291[[#This Row],[PEG]],Table1016[#All],3,FALSE)</f>
        <v>#N/A</v>
      </c>
    </row>
    <row r="29" spans="1:5">
      <c r="A29" s="114">
        <v>22</v>
      </c>
      <c r="B29" s="110" t="s">
        <v>12</v>
      </c>
      <c r="C29" s="105" t="e">
        <f>VLOOKUP(Table257519913140106110151155170178204291[[#This Row],[PEG]],Table1016[#All],2,FALSE)</f>
        <v>#N/A</v>
      </c>
      <c r="D29" s="113"/>
      <c r="E29" s="122" t="e">
        <f>VLOOKUP(Table257519913140106110151155170178204291[[#This Row],[PEG]],Table1016[#All],3,FALSE)</f>
        <v>#N/A</v>
      </c>
    </row>
    <row r="30" spans="1:5">
      <c r="A30" s="114">
        <v>23</v>
      </c>
      <c r="B30" s="110" t="s">
        <v>12</v>
      </c>
      <c r="C30" s="105" t="e">
        <f>VLOOKUP(Table257519913140106110151155170178204291[[#This Row],[PEG]],Table1016[#All],2,FALSE)</f>
        <v>#N/A</v>
      </c>
      <c r="D30" s="113"/>
      <c r="E30" s="122" t="e">
        <f>VLOOKUP(Table257519913140106110151155170178204291[[#This Row],[PEG]],Table1016[#All],3,FALSE)</f>
        <v>#N/A</v>
      </c>
    </row>
    <row r="31" spans="1:5">
      <c r="A31" s="114">
        <v>24</v>
      </c>
      <c r="B31" s="110" t="s">
        <v>115</v>
      </c>
      <c r="C31" s="105" t="e">
        <f>VLOOKUP(Table257519913140106110151155170178204291[[#This Row],[PEG]],Table1016[#All],2,FALSE)</f>
        <v>#N/A</v>
      </c>
      <c r="D31" s="113"/>
      <c r="E31" s="122" t="e">
        <f>VLOOKUP(Table257519913140106110151155170178204291[[#This Row],[PEG]],Table1016[#All],3,FALSE)</f>
        <v>#N/A</v>
      </c>
    </row>
    <row r="32" spans="1:5">
      <c r="A32" s="114">
        <v>25</v>
      </c>
      <c r="B32" s="110" t="s">
        <v>115</v>
      </c>
      <c r="C32" s="105" t="e">
        <f>VLOOKUP(Table257519913140106110151155170178204291[[#This Row],[PEG]],Table1016[#All],2,FALSE)</f>
        <v>#N/A</v>
      </c>
      <c r="D32" s="113"/>
      <c r="E32" s="122" t="e">
        <f>VLOOKUP(Table257519913140106110151155170178204291[[#This Row],[PEG]],Table1016[#All],3,FALSE)</f>
        <v>#N/A</v>
      </c>
    </row>
    <row r="33" spans="1:5">
      <c r="A33" s="114">
        <v>26</v>
      </c>
      <c r="B33" s="110" t="s">
        <v>124</v>
      </c>
      <c r="C33" s="105" t="e">
        <f>VLOOKUP(Table257519913140106110151155170178204291[[#This Row],[PEG]],Table1016[#All],2,FALSE)</f>
        <v>#N/A</v>
      </c>
      <c r="D33" s="113"/>
      <c r="E33" s="122" t="e">
        <f>VLOOKUP(Table257519913140106110151155170178204291[[#This Row],[PEG]],Table1016[#All],3,FALSE)</f>
        <v>#N/A</v>
      </c>
    </row>
    <row r="34" spans="1:5">
      <c r="A34" s="114">
        <v>27</v>
      </c>
      <c r="B34" s="110" t="s">
        <v>115</v>
      </c>
      <c r="C34" s="105" t="e">
        <f>VLOOKUP(Table257519913140106110151155170178204291[[#This Row],[PEG]],Table1016[#All],2,FALSE)</f>
        <v>#N/A</v>
      </c>
      <c r="D34" s="113"/>
      <c r="E34" s="122" t="e">
        <f>VLOOKUP(Table257519913140106110151155170178204291[[#This Row],[PEG]],Table1016[#All],3,FALSE)</f>
        <v>#N/A</v>
      </c>
    </row>
    <row r="35" spans="1:5">
      <c r="A35" s="114">
        <v>28</v>
      </c>
      <c r="B35" s="110" t="s">
        <v>124</v>
      </c>
      <c r="C35" s="105" t="e">
        <f>VLOOKUP(Table257519913140106110151155170178204291[[#This Row],[PEG]],Table1016[#All],2,FALSE)</f>
        <v>#N/A</v>
      </c>
      <c r="D35" s="113"/>
      <c r="E35" s="122" t="e">
        <f>VLOOKUP(Table257519913140106110151155170178204291[[#This Row],[PEG]],Table1016[#All],3,FALSE)</f>
        <v>#N/A</v>
      </c>
    </row>
    <row r="36" spans="1:5">
      <c r="A36" s="114">
        <v>29</v>
      </c>
      <c r="B36" s="110" t="s">
        <v>115</v>
      </c>
      <c r="C36" s="105" t="e">
        <f>VLOOKUP(Table257519913140106110151155170178204291[[#This Row],[PEG]],Table1016[#All],2,FALSE)</f>
        <v>#N/A</v>
      </c>
      <c r="D36" s="113"/>
      <c r="E36" s="122" t="e">
        <f>VLOOKUP(Table257519913140106110151155170178204291[[#This Row],[PEG]],Table1016[#All],3,FALSE)</f>
        <v>#N/A</v>
      </c>
    </row>
    <row r="37" spans="1:5">
      <c r="A37" s="114">
        <v>30</v>
      </c>
      <c r="B37" s="110" t="s">
        <v>12</v>
      </c>
      <c r="C37" s="105" t="e">
        <f>VLOOKUP(Table257519913140106110151155170178204291[[#This Row],[PEG]],Table1016[#All],2,FALSE)</f>
        <v>#N/A</v>
      </c>
      <c r="D37" s="113"/>
      <c r="E37" s="122" t="e">
        <f>VLOOKUP(Table257519913140106110151155170178204291[[#This Row],[PEG]],Table1016[#All],3,FALSE)</f>
        <v>#N/A</v>
      </c>
    </row>
    <row r="38" spans="1:5">
      <c r="A38" s="114">
        <v>31</v>
      </c>
      <c r="B38" s="110" t="s">
        <v>12</v>
      </c>
      <c r="C38" s="105" t="e">
        <f>VLOOKUP(Table257519913140106110151155170178204291[[#This Row],[PEG]],Table1016[#All],2,FALSE)</f>
        <v>#N/A</v>
      </c>
      <c r="D38" s="113"/>
      <c r="E38" s="122" t="e">
        <f>VLOOKUP(Table257519913140106110151155170178204291[[#This Row],[PEG]],Table1016[#All],3,FALSE)</f>
        <v>#N/A</v>
      </c>
    </row>
    <row r="39" spans="1:5">
      <c r="A39" s="114">
        <v>32</v>
      </c>
      <c r="B39" s="110" t="s">
        <v>12</v>
      </c>
      <c r="C39" s="105" t="e">
        <f>VLOOKUP(Table257519913140106110151155170178204291[[#This Row],[PEG]],Table1016[#All],2,FALSE)</f>
        <v>#N/A</v>
      </c>
      <c r="D39" s="113"/>
      <c r="E39" s="122" t="e">
        <f>VLOOKUP(Table257519913140106110151155170178204291[[#This Row],[PEG]],Table1016[#All],3,FALSE)</f>
        <v>#N/A</v>
      </c>
    </row>
    <row r="40" spans="1:5">
      <c r="A40" s="114">
        <v>33</v>
      </c>
      <c r="B40" s="110" t="s">
        <v>12</v>
      </c>
      <c r="C40" s="105" t="e">
        <f>VLOOKUP(Table257519913140106110151155170178204291[[#This Row],[PEG]],Table1016[#All],2,FALSE)</f>
        <v>#N/A</v>
      </c>
      <c r="D40" s="113"/>
      <c r="E40" s="122" t="e">
        <f>VLOOKUP(Table257519913140106110151155170178204291[[#This Row],[PEG]],Table1016[#All],3,FALSE)</f>
        <v>#N/A</v>
      </c>
    </row>
    <row r="41" spans="1:5">
      <c r="A41" s="114">
        <v>34</v>
      </c>
      <c r="B41" s="110" t="s">
        <v>115</v>
      </c>
      <c r="C41" s="105" t="e">
        <f>VLOOKUP(Table257519913140106110151155170178204291[[#This Row],[PEG]],Table1016[#All],2,FALSE)</f>
        <v>#N/A</v>
      </c>
      <c r="D41" s="113"/>
      <c r="E41" s="122" t="e">
        <f>VLOOKUP(Table257519913140106110151155170178204291[[#This Row],[PEG]],Table1016[#All],3,FALSE)</f>
        <v>#N/A</v>
      </c>
    </row>
    <row r="42" spans="1:5">
      <c r="A42" s="114">
        <v>35</v>
      </c>
      <c r="B42" s="110" t="s">
        <v>12</v>
      </c>
      <c r="C42" s="105" t="e">
        <f>VLOOKUP(Table257519913140106110151155170178204291[[#This Row],[PEG]],Table1016[#All],2,FALSE)</f>
        <v>#N/A</v>
      </c>
      <c r="D42" s="111"/>
      <c r="E42" s="122" t="e">
        <f>VLOOKUP(Table257519913140106110151155170178204291[[#This Row],[PEG]],Table1016[#All],3,FALSE)</f>
        <v>#N/A</v>
      </c>
    </row>
    <row r="43" spans="1:5">
      <c r="A43" s="114">
        <v>36</v>
      </c>
      <c r="B43" s="110" t="s">
        <v>115</v>
      </c>
      <c r="C43" s="105" t="e">
        <f>VLOOKUP(Table257519913140106110151155170178204291[[#This Row],[PEG]],Table1016[#All],2,FALSE)</f>
        <v>#N/A</v>
      </c>
      <c r="D43" s="111"/>
      <c r="E43" s="122" t="e">
        <f>VLOOKUP(Table257519913140106110151155170178204291[[#This Row],[PEG]],Table1016[#All],3,FALSE)</f>
        <v>#N/A</v>
      </c>
    </row>
    <row r="44" spans="1:5">
      <c r="A44" s="114">
        <v>37</v>
      </c>
      <c r="B44" s="110" t="s">
        <v>13</v>
      </c>
      <c r="C44" s="17" t="s">
        <v>13</v>
      </c>
      <c r="D44" s="111"/>
      <c r="E44" s="31"/>
    </row>
  </sheetData>
  <mergeCells count="1">
    <mergeCell ref="A1:B1"/>
  </mergeCells>
  <conditionalFormatting sqref="B8:B18">
    <cfRule type="containsText" dxfId="384" priority="1" operator="containsText" text="Hear">
      <formula>NOT(ISERROR(SEARCH("Hear",B8)))</formula>
    </cfRule>
  </conditionalFormatting>
  <conditionalFormatting sqref="B30">
    <cfRule type="containsText" dxfId="383" priority="4" operator="containsText" text="Hear">
      <formula>NOT(ISERROR(SEARCH("Hear",B30)))</formula>
    </cfRule>
  </conditionalFormatting>
  <conditionalFormatting sqref="B43:B44">
    <cfRule type="containsText" dxfId="382" priority="8" operator="containsText" text="Hear">
      <formula>NOT(ISERROR(SEARCH("Hear",B43)))</formula>
    </cfRule>
  </conditionalFormatting>
  <conditionalFormatting sqref="E44">
    <cfRule type="containsText" dxfId="381" priority="6" operator="containsText" text="WEB SERVICE">
      <formula>NOT(ISERROR(SEARCH("WEB SERVICE",E44)))</formula>
    </cfRule>
    <cfRule type="containsText" dxfId="380" priority="7" operator="containsText" text="DB">
      <formula>NOT(ISERROR(SEARCH("DB",E44)))</formula>
    </cfRule>
  </conditionalFormatting>
  <conditionalFormatting sqref="C44">
    <cfRule type="expression" dxfId="379" priority="9">
      <formula>$B44="Dial"</formula>
    </cfRule>
  </conditionalFormatting>
  <conditionalFormatting sqref="C44">
    <cfRule type="expression" dxfId="378" priority="3">
      <formula>$B44="Speak"</formula>
    </cfRule>
  </conditionalFormatting>
  <conditionalFormatting sqref="B19:B29 B31:B35 B42">
    <cfRule type="containsText" dxfId="377" priority="5" operator="containsText" text="Hear">
      <formula>NOT(ISERROR(SEARCH("Hear",B19)))</formula>
    </cfRule>
  </conditionalFormatting>
  <hyperlinks>
    <hyperlink ref="A1" location="'Test Case Overview'!A1" display="Return to Test Case Overview" xr:uid="{00000000-0004-0000-BF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8EC94059-669E-4141-A483-1F6162C71F45}">
            <xm:f>'TC1'!$B8="HANGUP"</xm:f>
            <x14:dxf>
              <font>
                <b/>
                <i val="0"/>
              </font>
            </x14:dxf>
          </x14:cfRule>
          <xm:sqref>C8</xm:sqref>
        </x14:conditionalFormatting>
        <x14:conditionalFormatting xmlns:xm="http://schemas.microsoft.com/office/excel/2006/main">
          <x14:cfRule type="expression" priority="3413" id="{8EC94059-669E-4141-A483-1F6162C71F45}">
            <xm:f>'TC1'!$B14="HANGUP"</xm:f>
            <x14:dxf>
              <font>
                <b/>
                <i val="0"/>
              </font>
            </x14:dxf>
          </x14:cfRule>
          <xm:sqref>C34:C43</xm:sqref>
        </x14:conditionalFormatting>
        <x14:conditionalFormatting xmlns:xm="http://schemas.microsoft.com/office/excel/2006/main">
          <x14:cfRule type="expression" priority="3414" id="{8EC94059-669E-4141-A483-1F6162C71F45}">
            <xm:f>'TC1'!#REF!="HANGUP"</xm:f>
            <x14:dxf>
              <font>
                <b/>
                <i val="0"/>
              </font>
            </x14:dxf>
          </x14:cfRule>
          <xm:sqref>C13:C33</xm:sqref>
        </x14:conditionalFormatting>
        <x14:conditionalFormatting xmlns:xm="http://schemas.microsoft.com/office/excel/2006/main">
          <x14:cfRule type="expression" priority="4633" id="{8EC94059-669E-4141-A483-1F6162C71F45}">
            <xm:f>'TC1'!$B10="HANGUP"</xm:f>
            <x14:dxf>
              <font>
                <b/>
                <i val="0"/>
              </font>
            </x14:dxf>
          </x14:cfRule>
          <xm:sqref>C9:C12</xm:sqref>
        </x14:conditionalFormatting>
      </x14:conditionalFormattings>
    </ext>
  </extLst>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000-000000000000}">
  <sheetPr codeName="Sheet194"/>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TC192</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VLOOKUP(Table257519913140106110151155170178204293[[#This Row],[PEG]],Table1016[#All],2,FALSE)</f>
        <v>#N/A</v>
      </c>
      <c r="D9" s="125"/>
      <c r="E9" s="122" t="e">
        <f>VLOOKUP(Table257519913140106110151155170178204293[[#This Row],[PEG]],Table1016[#All],3,FALSE)</f>
        <v>#N/A</v>
      </c>
    </row>
    <row r="10" spans="1:5">
      <c r="A10" s="114">
        <v>3</v>
      </c>
      <c r="B10" s="110" t="s">
        <v>115</v>
      </c>
      <c r="C10" s="105" t="e">
        <f>VLOOKUP(Table257519913140106110151155170178204293[[#This Row],[PEG]],Table1016[#All],2,FALSE)</f>
        <v>#N/A</v>
      </c>
      <c r="D10" s="125"/>
      <c r="E10" s="122" t="e">
        <f>VLOOKUP(Table257519913140106110151155170178204293[[#This Row],[PEG]],Table1016[#All],3,FALSE)</f>
        <v>#N/A</v>
      </c>
    </row>
    <row r="11" spans="1:5">
      <c r="A11" s="114">
        <v>4</v>
      </c>
      <c r="B11" s="110" t="s">
        <v>115</v>
      </c>
      <c r="C11" s="105" t="e">
        <f>VLOOKUP(Table257519913140106110151155170178204293[[#This Row],[PEG]],Table1016[#All],2,FALSE)</f>
        <v>#N/A</v>
      </c>
      <c r="D11" s="125"/>
      <c r="E11" s="122" t="e">
        <f>VLOOKUP(Table257519913140106110151155170178204293[[#This Row],[PEG]],Table1016[#All],3,FALSE)</f>
        <v>#N/A</v>
      </c>
    </row>
    <row r="12" spans="1:5">
      <c r="A12" s="114">
        <v>5</v>
      </c>
      <c r="B12" s="110" t="s">
        <v>114</v>
      </c>
      <c r="C12" s="105" t="e">
        <f>VLOOKUP(Table257519913140106110151155170178204293[[#This Row],[PEG]],Table1016[#All],2,FALSE)</f>
        <v>#N/A</v>
      </c>
      <c r="D12" s="125"/>
      <c r="E12" s="122" t="e">
        <f>VLOOKUP(Table257519913140106110151155170178204293[[#This Row],[PEG]],Table1016[#All],3,FALSE)</f>
        <v>#N/A</v>
      </c>
    </row>
    <row r="13" spans="1:5">
      <c r="A13" s="114">
        <v>6</v>
      </c>
      <c r="B13" s="110" t="s">
        <v>115</v>
      </c>
      <c r="C13" s="105" t="e">
        <f>VLOOKUP(Table257519913140106110151155170178204293[[#This Row],[PEG]],Table1016[#All],2,FALSE)</f>
        <v>#N/A</v>
      </c>
      <c r="D13" s="125"/>
      <c r="E13" s="122" t="e">
        <f>VLOOKUP(Table257519913140106110151155170178204293[[#This Row],[PEG]],Table1016[#All],3,FALSE)</f>
        <v>#N/A</v>
      </c>
    </row>
    <row r="14" spans="1:5">
      <c r="A14" s="114">
        <v>7</v>
      </c>
      <c r="B14" s="110" t="s">
        <v>114</v>
      </c>
      <c r="C14" s="105" t="e">
        <f>VLOOKUP(Table257519913140106110151155170178204293[[#This Row],[PEG]],Table1016[#All],2,FALSE)</f>
        <v>#N/A</v>
      </c>
      <c r="D14" s="125"/>
      <c r="E14" s="122" t="e">
        <f>VLOOKUP(Table257519913140106110151155170178204293[[#This Row],[PEG]],Table1016[#All],3,FALSE)</f>
        <v>#N/A</v>
      </c>
    </row>
    <row r="15" spans="1:5">
      <c r="A15" s="114">
        <v>8</v>
      </c>
      <c r="B15" s="110" t="s">
        <v>115</v>
      </c>
      <c r="C15" s="105" t="e">
        <f>VLOOKUP(Table257519913140106110151155170178204293[[#This Row],[PEG]],Table1016[#All],2,FALSE)</f>
        <v>#N/A</v>
      </c>
      <c r="D15" s="112"/>
      <c r="E15" s="122" t="e">
        <f>VLOOKUP(Table257519913140106110151155170178204293[[#This Row],[PEG]],Table1016[#All],3,FALSE)</f>
        <v>#N/A</v>
      </c>
    </row>
    <row r="16" spans="1:5">
      <c r="A16" s="114">
        <v>9</v>
      </c>
      <c r="B16" s="110" t="s">
        <v>12</v>
      </c>
      <c r="C16" s="105" t="e">
        <f>VLOOKUP(Table257519913140106110151155170178204293[[#This Row],[PEG]],Table1016[#All],2,FALSE)</f>
        <v>#N/A</v>
      </c>
      <c r="D16" s="112"/>
      <c r="E16" s="122" t="e">
        <f>VLOOKUP(Table257519913140106110151155170178204293[[#This Row],[PEG]],Table1016[#All],3,FALSE)</f>
        <v>#N/A</v>
      </c>
    </row>
    <row r="17" spans="1:5">
      <c r="A17" s="114">
        <v>10</v>
      </c>
      <c r="B17" s="110" t="s">
        <v>12</v>
      </c>
      <c r="C17" s="105" t="e">
        <f>VLOOKUP(Table257519913140106110151155170178204293[[#This Row],[PEG]],Table1016[#All],2,FALSE)</f>
        <v>#N/A</v>
      </c>
      <c r="D17" s="113"/>
      <c r="E17" s="122" t="e">
        <f>VLOOKUP(Table257519913140106110151155170178204293[[#This Row],[PEG]],Table1016[#All],3,FALSE)</f>
        <v>#N/A</v>
      </c>
    </row>
    <row r="18" spans="1:5">
      <c r="A18" s="114">
        <v>11</v>
      </c>
      <c r="B18" s="110" t="s">
        <v>115</v>
      </c>
      <c r="C18" s="105" t="e">
        <f>VLOOKUP(Table257519913140106110151155170178204293[[#This Row],[PEG]],Table1016[#All],2,FALSE)</f>
        <v>#N/A</v>
      </c>
      <c r="D18" s="113"/>
      <c r="E18" s="122" t="e">
        <f>VLOOKUP(Table257519913140106110151155170178204293[[#This Row],[PEG]],Table1016[#All],3,FALSE)</f>
        <v>#N/A</v>
      </c>
    </row>
    <row r="19" spans="1:5">
      <c r="A19" s="114">
        <v>12</v>
      </c>
      <c r="B19" s="110" t="s">
        <v>115</v>
      </c>
      <c r="C19" s="105" t="e">
        <f>VLOOKUP(Table257519913140106110151155170178204293[[#This Row],[PEG]],Table1016[#All],2,FALSE)</f>
        <v>#N/A</v>
      </c>
      <c r="D19" s="113"/>
      <c r="E19" s="122" t="e">
        <f>VLOOKUP(Table257519913140106110151155170178204293[[#This Row],[PEG]],Table1016[#All],3,FALSE)</f>
        <v>#N/A</v>
      </c>
    </row>
    <row r="20" spans="1:5">
      <c r="A20" s="114">
        <v>13</v>
      </c>
      <c r="B20" s="110" t="s">
        <v>114</v>
      </c>
      <c r="C20" s="105" t="e">
        <f>VLOOKUP(Table257519913140106110151155170178204293[[#This Row],[PEG]],Table1016[#All],2,FALSE)</f>
        <v>#N/A</v>
      </c>
      <c r="D20" s="113"/>
      <c r="E20" s="122" t="e">
        <f>VLOOKUP(Table257519913140106110151155170178204293[[#This Row],[PEG]],Table1016[#All],3,FALSE)</f>
        <v>#N/A</v>
      </c>
    </row>
    <row r="21" spans="1:5">
      <c r="A21" s="114">
        <v>14</v>
      </c>
      <c r="B21" s="110" t="s">
        <v>12</v>
      </c>
      <c r="C21" s="105" t="e">
        <f>VLOOKUP(Table257519913140106110151155170178204293[[#This Row],[PEG]],Table1016[#All],2,FALSE)</f>
        <v>#N/A</v>
      </c>
      <c r="D21" s="113"/>
      <c r="E21" s="122" t="e">
        <f>VLOOKUP(Table257519913140106110151155170178204293[[#This Row],[PEG]],Table1016[#All],3,FALSE)</f>
        <v>#N/A</v>
      </c>
    </row>
    <row r="22" spans="1:5">
      <c r="A22" s="114">
        <v>15</v>
      </c>
      <c r="B22" s="110" t="s">
        <v>12</v>
      </c>
      <c r="C22" s="105" t="e">
        <f>VLOOKUP(Table257519913140106110151155170178204293[[#This Row],[PEG]],Table1016[#All],2,FALSE)</f>
        <v>#N/A</v>
      </c>
      <c r="D22" s="113"/>
      <c r="E22" s="122" t="e">
        <f>VLOOKUP(Table257519913140106110151155170178204293[[#This Row],[PEG]],Table1016[#All],3,FALSE)</f>
        <v>#N/A</v>
      </c>
    </row>
    <row r="23" spans="1:5">
      <c r="A23" s="114">
        <v>16</v>
      </c>
      <c r="B23" s="110" t="s">
        <v>115</v>
      </c>
      <c r="C23" s="105" t="e">
        <f>VLOOKUP(Table257519913140106110151155170178204293[[#This Row],[PEG]],Table1016[#All],2,FALSE)</f>
        <v>#N/A</v>
      </c>
      <c r="D23" s="113"/>
      <c r="E23" s="122" t="e">
        <f>VLOOKUP(Table257519913140106110151155170178204293[[#This Row],[PEG]],Table1016[#All],3,FALSE)</f>
        <v>#N/A</v>
      </c>
    </row>
    <row r="24" spans="1:5">
      <c r="A24" s="114">
        <v>17</v>
      </c>
      <c r="B24" s="110" t="s">
        <v>114</v>
      </c>
      <c r="C24" s="105" t="e">
        <f>VLOOKUP(Table257519913140106110151155170178204293[[#This Row],[PEG]],Table1016[#All],2,FALSE)</f>
        <v>#N/A</v>
      </c>
      <c r="D24" s="113"/>
      <c r="E24" s="122" t="e">
        <f>VLOOKUP(Table257519913140106110151155170178204293[[#This Row],[PEG]],Table1016[#All],3,FALSE)</f>
        <v>#N/A</v>
      </c>
    </row>
    <row r="25" spans="1:5">
      <c r="A25" s="114">
        <v>18</v>
      </c>
      <c r="B25" s="110" t="s">
        <v>12</v>
      </c>
      <c r="C25" s="105" t="e">
        <f>VLOOKUP(Table257519913140106110151155170178204293[[#This Row],[PEG]],Table1016[#All],2,FALSE)</f>
        <v>#N/A</v>
      </c>
      <c r="D25" s="113"/>
      <c r="E25" s="122" t="e">
        <f>VLOOKUP(Table257519913140106110151155170178204293[[#This Row],[PEG]],Table1016[#All],3,FALSE)</f>
        <v>#N/A</v>
      </c>
    </row>
    <row r="26" spans="1:5">
      <c r="A26" s="114">
        <v>19</v>
      </c>
      <c r="B26" s="110" t="s">
        <v>12</v>
      </c>
      <c r="C26" s="105" t="e">
        <f>VLOOKUP(Table257519913140106110151155170178204293[[#This Row],[PEG]],Table1016[#All],2,FALSE)</f>
        <v>#N/A</v>
      </c>
      <c r="D26" s="113"/>
      <c r="E26" s="122" t="e">
        <f>VLOOKUP(Table257519913140106110151155170178204293[[#This Row],[PEG]],Table1016[#All],3,FALSE)</f>
        <v>#N/A</v>
      </c>
    </row>
    <row r="27" spans="1:5">
      <c r="A27" s="114">
        <v>20</v>
      </c>
      <c r="B27" s="110" t="s">
        <v>115</v>
      </c>
      <c r="C27" s="105" t="e">
        <f>VLOOKUP(Table257519913140106110151155170178204293[[#This Row],[PEG]],Table1016[#All],2,FALSE)</f>
        <v>#N/A</v>
      </c>
      <c r="D27" s="113"/>
      <c r="E27" s="122" t="e">
        <f>VLOOKUP(Table257519913140106110151155170178204293[[#This Row],[PEG]],Table1016[#All],3,FALSE)</f>
        <v>#N/A</v>
      </c>
    </row>
    <row r="28" spans="1:5">
      <c r="A28" s="114">
        <v>21</v>
      </c>
      <c r="B28" s="110" t="s">
        <v>114</v>
      </c>
      <c r="C28" s="105" t="e">
        <f>VLOOKUP(Table257519913140106110151155170178204293[[#This Row],[PEG]],Table1016[#All],2,FALSE)</f>
        <v>#N/A</v>
      </c>
      <c r="D28" s="113"/>
      <c r="E28" s="122" t="e">
        <f>VLOOKUP(Table257519913140106110151155170178204293[[#This Row],[PEG]],Table1016[#All],3,FALSE)</f>
        <v>#N/A</v>
      </c>
    </row>
    <row r="29" spans="1:5">
      <c r="A29" s="114">
        <v>22</v>
      </c>
      <c r="B29" s="110" t="s">
        <v>12</v>
      </c>
      <c r="C29" s="105" t="e">
        <f>VLOOKUP(Table257519913140106110151155170178204293[[#This Row],[PEG]],Table1016[#All],2,FALSE)</f>
        <v>#N/A</v>
      </c>
      <c r="D29" s="113"/>
      <c r="E29" s="122" t="e">
        <f>VLOOKUP(Table257519913140106110151155170178204293[[#This Row],[PEG]],Table1016[#All],3,FALSE)</f>
        <v>#N/A</v>
      </c>
    </row>
    <row r="30" spans="1:5">
      <c r="A30" s="114">
        <v>23</v>
      </c>
      <c r="B30" s="110" t="s">
        <v>12</v>
      </c>
      <c r="C30" s="105" t="e">
        <f>VLOOKUP(Table257519913140106110151155170178204293[[#This Row],[PEG]],Table1016[#All],2,FALSE)</f>
        <v>#N/A</v>
      </c>
      <c r="D30" s="113"/>
      <c r="E30" s="122" t="e">
        <f>VLOOKUP(Table257519913140106110151155170178204293[[#This Row],[PEG]],Table1016[#All],3,FALSE)</f>
        <v>#N/A</v>
      </c>
    </row>
    <row r="31" spans="1:5">
      <c r="A31" s="114">
        <v>24</v>
      </c>
      <c r="B31" s="110" t="s">
        <v>115</v>
      </c>
      <c r="C31" s="105" t="e">
        <f>VLOOKUP(Table257519913140106110151155170178204293[[#This Row],[PEG]],Table1016[#All],2,FALSE)</f>
        <v>#N/A</v>
      </c>
      <c r="D31" s="113"/>
      <c r="E31" s="122" t="e">
        <f>VLOOKUP(Table257519913140106110151155170178204293[[#This Row],[PEG]],Table1016[#All],3,FALSE)</f>
        <v>#N/A</v>
      </c>
    </row>
    <row r="32" spans="1:5">
      <c r="A32" s="114">
        <v>25</v>
      </c>
      <c r="B32" s="110" t="s">
        <v>115</v>
      </c>
      <c r="C32" s="105" t="e">
        <f>VLOOKUP(Table257519913140106110151155170178204293[[#This Row],[PEG]],Table1016[#All],2,FALSE)</f>
        <v>#N/A</v>
      </c>
      <c r="D32" s="113"/>
      <c r="E32" s="122" t="e">
        <f>VLOOKUP(Table257519913140106110151155170178204293[[#This Row],[PEG]],Table1016[#All],3,FALSE)</f>
        <v>#N/A</v>
      </c>
    </row>
    <row r="33" spans="1:5">
      <c r="A33" s="114">
        <v>26</v>
      </c>
      <c r="B33" s="110" t="s">
        <v>124</v>
      </c>
      <c r="C33" s="105" t="e">
        <f>VLOOKUP(Table257519913140106110151155170178204293[[#This Row],[PEG]],Table1016[#All],2,FALSE)</f>
        <v>#N/A</v>
      </c>
      <c r="D33" s="113"/>
      <c r="E33" s="122" t="e">
        <f>VLOOKUP(Table257519913140106110151155170178204293[[#This Row],[PEG]],Table1016[#All],3,FALSE)</f>
        <v>#N/A</v>
      </c>
    </row>
    <row r="34" spans="1:5">
      <c r="A34" s="114">
        <v>27</v>
      </c>
      <c r="B34" s="110" t="s">
        <v>115</v>
      </c>
      <c r="C34" s="105" t="e">
        <f>VLOOKUP(Table257519913140106110151155170178204293[[#This Row],[PEG]],Table1016[#All],2,FALSE)</f>
        <v>#N/A</v>
      </c>
      <c r="D34" s="113"/>
      <c r="E34" s="122" t="e">
        <f>VLOOKUP(Table257519913140106110151155170178204293[[#This Row],[PEG]],Table1016[#All],3,FALSE)</f>
        <v>#N/A</v>
      </c>
    </row>
    <row r="35" spans="1:5">
      <c r="A35" s="114">
        <v>28</v>
      </c>
      <c r="B35" s="110" t="s">
        <v>124</v>
      </c>
      <c r="C35" s="105" t="e">
        <f>VLOOKUP(Table257519913140106110151155170178204293[[#This Row],[PEG]],Table1016[#All],2,FALSE)</f>
        <v>#N/A</v>
      </c>
      <c r="D35" s="113"/>
      <c r="E35" s="122" t="e">
        <f>VLOOKUP(Table257519913140106110151155170178204293[[#This Row],[PEG]],Table1016[#All],3,FALSE)</f>
        <v>#N/A</v>
      </c>
    </row>
    <row r="36" spans="1:5">
      <c r="A36" s="114">
        <v>29</v>
      </c>
      <c r="B36" s="110" t="s">
        <v>115</v>
      </c>
      <c r="C36" s="105" t="e">
        <f>VLOOKUP(Table257519913140106110151155170178204293[[#This Row],[PEG]],Table1016[#All],2,FALSE)</f>
        <v>#N/A</v>
      </c>
      <c r="D36" s="113"/>
      <c r="E36" s="122" t="e">
        <f>VLOOKUP(Table257519913140106110151155170178204293[[#This Row],[PEG]],Table1016[#All],3,FALSE)</f>
        <v>#N/A</v>
      </c>
    </row>
    <row r="37" spans="1:5">
      <c r="A37" s="114">
        <v>30</v>
      </c>
      <c r="B37" s="110" t="s">
        <v>12</v>
      </c>
      <c r="C37" s="105" t="e">
        <f>VLOOKUP(Table257519913140106110151155170178204293[[#This Row],[PEG]],Table1016[#All],2,FALSE)</f>
        <v>#N/A</v>
      </c>
      <c r="D37" s="113"/>
      <c r="E37" s="122" t="e">
        <f>VLOOKUP(Table257519913140106110151155170178204293[[#This Row],[PEG]],Table1016[#All],3,FALSE)</f>
        <v>#N/A</v>
      </c>
    </row>
    <row r="38" spans="1:5">
      <c r="A38" s="114">
        <v>31</v>
      </c>
      <c r="B38" s="110" t="s">
        <v>12</v>
      </c>
      <c r="C38" s="105" t="e">
        <f>VLOOKUP(Table257519913140106110151155170178204293[[#This Row],[PEG]],Table1016[#All],2,FALSE)</f>
        <v>#N/A</v>
      </c>
      <c r="D38" s="113"/>
      <c r="E38" s="122" t="e">
        <f>VLOOKUP(Table257519913140106110151155170178204293[[#This Row],[PEG]],Table1016[#All],3,FALSE)</f>
        <v>#N/A</v>
      </c>
    </row>
    <row r="39" spans="1:5">
      <c r="A39" s="114">
        <v>32</v>
      </c>
      <c r="B39" s="110" t="s">
        <v>12</v>
      </c>
      <c r="C39" s="105" t="e">
        <f>VLOOKUP(Table257519913140106110151155170178204293[[#This Row],[PEG]],Table1016[#All],2,FALSE)</f>
        <v>#N/A</v>
      </c>
      <c r="D39" s="113"/>
      <c r="E39" s="122" t="e">
        <f>VLOOKUP(Table257519913140106110151155170178204293[[#This Row],[PEG]],Table1016[#All],3,FALSE)</f>
        <v>#N/A</v>
      </c>
    </row>
    <row r="40" spans="1:5">
      <c r="A40" s="114">
        <v>33</v>
      </c>
      <c r="B40" s="110" t="s">
        <v>12</v>
      </c>
      <c r="C40" s="105" t="e">
        <f>VLOOKUP(Table257519913140106110151155170178204293[[#This Row],[PEG]],Table1016[#All],2,FALSE)</f>
        <v>#N/A</v>
      </c>
      <c r="D40" s="113"/>
      <c r="E40" s="122" t="e">
        <f>VLOOKUP(Table257519913140106110151155170178204293[[#This Row],[PEG]],Table1016[#All],3,FALSE)</f>
        <v>#N/A</v>
      </c>
    </row>
    <row r="41" spans="1:5">
      <c r="A41" s="114">
        <v>34</v>
      </c>
      <c r="B41" s="110" t="s">
        <v>115</v>
      </c>
      <c r="C41" s="105" t="e">
        <f>VLOOKUP(Table257519913140106110151155170178204293[[#This Row],[PEG]],Table1016[#All],2,FALSE)</f>
        <v>#N/A</v>
      </c>
      <c r="D41" s="113"/>
      <c r="E41" s="122" t="e">
        <f>VLOOKUP(Table257519913140106110151155170178204293[[#This Row],[PEG]],Table1016[#All],3,FALSE)</f>
        <v>#N/A</v>
      </c>
    </row>
    <row r="42" spans="1:5">
      <c r="A42" s="114">
        <v>35</v>
      </c>
      <c r="B42" s="110" t="s">
        <v>12</v>
      </c>
      <c r="C42" s="105" t="e">
        <f>VLOOKUP(Table257519913140106110151155170178204293[[#This Row],[PEG]],Table1016[#All],2,FALSE)</f>
        <v>#N/A</v>
      </c>
      <c r="D42" s="111"/>
      <c r="E42" s="122" t="e">
        <f>VLOOKUP(Table257519913140106110151155170178204293[[#This Row],[PEG]],Table1016[#All],3,FALSE)</f>
        <v>#N/A</v>
      </c>
    </row>
    <row r="43" spans="1:5">
      <c r="A43" s="114">
        <v>36</v>
      </c>
      <c r="B43" s="110" t="s">
        <v>115</v>
      </c>
      <c r="C43" s="105" t="e">
        <f>VLOOKUP(Table257519913140106110151155170178204293[[#This Row],[PEG]],Table1016[#All],2,FALSE)</f>
        <v>#N/A</v>
      </c>
      <c r="D43" s="111"/>
      <c r="E43" s="122" t="e">
        <f>VLOOKUP(Table257519913140106110151155170178204293[[#This Row],[PEG]],Table1016[#All],3,FALSE)</f>
        <v>#N/A</v>
      </c>
    </row>
    <row r="44" spans="1:5">
      <c r="A44" s="114">
        <v>37</v>
      </c>
      <c r="B44" s="110" t="s">
        <v>13</v>
      </c>
      <c r="C44" s="17" t="s">
        <v>13</v>
      </c>
      <c r="D44" s="111"/>
      <c r="E44" s="31"/>
    </row>
  </sheetData>
  <mergeCells count="1">
    <mergeCell ref="A1:B1"/>
  </mergeCells>
  <conditionalFormatting sqref="B8:B18">
    <cfRule type="containsText" dxfId="363" priority="1" operator="containsText" text="Hear">
      <formula>NOT(ISERROR(SEARCH("Hear",B8)))</formula>
    </cfRule>
  </conditionalFormatting>
  <conditionalFormatting sqref="B30">
    <cfRule type="containsText" dxfId="362" priority="4" operator="containsText" text="Hear">
      <formula>NOT(ISERROR(SEARCH("Hear",B30)))</formula>
    </cfRule>
  </conditionalFormatting>
  <conditionalFormatting sqref="B43:B44">
    <cfRule type="containsText" dxfId="361" priority="8" operator="containsText" text="Hear">
      <formula>NOT(ISERROR(SEARCH("Hear",B43)))</formula>
    </cfRule>
  </conditionalFormatting>
  <conditionalFormatting sqref="E44">
    <cfRule type="containsText" dxfId="360" priority="6" operator="containsText" text="WEB SERVICE">
      <formula>NOT(ISERROR(SEARCH("WEB SERVICE",E44)))</formula>
    </cfRule>
    <cfRule type="containsText" dxfId="359" priority="7" operator="containsText" text="DB">
      <formula>NOT(ISERROR(SEARCH("DB",E44)))</formula>
    </cfRule>
  </conditionalFormatting>
  <conditionalFormatting sqref="C44">
    <cfRule type="expression" dxfId="358" priority="9">
      <formula>$B44="Dial"</formula>
    </cfRule>
  </conditionalFormatting>
  <conditionalFormatting sqref="C44">
    <cfRule type="expression" dxfId="357" priority="3">
      <formula>$B44="Speak"</formula>
    </cfRule>
  </conditionalFormatting>
  <conditionalFormatting sqref="B19:B29 B31:B35 B42">
    <cfRule type="containsText" dxfId="356" priority="5" operator="containsText" text="Hear">
      <formula>NOT(ISERROR(SEARCH("Hear",B19)))</formula>
    </cfRule>
  </conditionalFormatting>
  <hyperlinks>
    <hyperlink ref="A1" location="'Test Case Overview'!A1" display="Return to Test Case Overview" xr:uid="{00000000-0004-0000-C0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55BD5E23-AC36-4E92-8870-BDCB6D78B3EF}">
            <xm:f>'TC1'!$B8="HANGUP"</xm:f>
            <x14:dxf>
              <font>
                <b/>
                <i val="0"/>
              </font>
            </x14:dxf>
          </x14:cfRule>
          <xm:sqref>C8</xm:sqref>
        </x14:conditionalFormatting>
        <x14:conditionalFormatting xmlns:xm="http://schemas.microsoft.com/office/excel/2006/main">
          <x14:cfRule type="expression" priority="3417" id="{55BD5E23-AC36-4E92-8870-BDCB6D78B3EF}">
            <xm:f>'TC1'!$B14="HANGUP"</xm:f>
            <x14:dxf>
              <font>
                <b/>
                <i val="0"/>
              </font>
            </x14:dxf>
          </x14:cfRule>
          <xm:sqref>C34:C43</xm:sqref>
        </x14:conditionalFormatting>
        <x14:conditionalFormatting xmlns:xm="http://schemas.microsoft.com/office/excel/2006/main">
          <x14:cfRule type="expression" priority="3418" id="{55BD5E23-AC36-4E92-8870-BDCB6D78B3EF}">
            <xm:f>'TC1'!#REF!="HANGUP"</xm:f>
            <x14:dxf>
              <font>
                <b/>
                <i val="0"/>
              </font>
            </x14:dxf>
          </x14:cfRule>
          <xm:sqref>C13:C33</xm:sqref>
        </x14:conditionalFormatting>
        <x14:conditionalFormatting xmlns:xm="http://schemas.microsoft.com/office/excel/2006/main">
          <x14:cfRule type="expression" priority="4635" id="{55BD5E23-AC36-4E92-8870-BDCB6D78B3EF}">
            <xm:f>'TC1'!$B10="HANGUP"</xm:f>
            <x14:dxf>
              <font>
                <b/>
                <i val="0"/>
              </font>
            </x14:dxf>
          </x14:cfRule>
          <xm:sqref>C9:C12</xm:sqref>
        </x14:conditionalFormatting>
      </x14:conditionalFormattings>
    </ext>
  </extLst>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100-000000000000}">
  <sheetPr codeName="Sheet195"/>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TC193</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VLOOKUP(Table257519913140106110151155170178204295[[#This Row],[PEG]],Table1016[#All],2,FALSE)</f>
        <v>#N/A</v>
      </c>
      <c r="D9" s="125"/>
      <c r="E9" s="122" t="e">
        <f>VLOOKUP(Table257519913140106110151155170178204295[[#This Row],[PEG]],Table1016[#All],3,FALSE)</f>
        <v>#N/A</v>
      </c>
    </row>
    <row r="10" spans="1:5">
      <c r="A10" s="114">
        <v>3</v>
      </c>
      <c r="B10" s="110" t="s">
        <v>115</v>
      </c>
      <c r="C10" s="105" t="e">
        <f>VLOOKUP(Table257519913140106110151155170178204295[[#This Row],[PEG]],Table1016[#All],2,FALSE)</f>
        <v>#N/A</v>
      </c>
      <c r="D10" s="125"/>
      <c r="E10" s="122" t="e">
        <f>VLOOKUP(Table257519913140106110151155170178204295[[#This Row],[PEG]],Table1016[#All],3,FALSE)</f>
        <v>#N/A</v>
      </c>
    </row>
    <row r="11" spans="1:5">
      <c r="A11" s="114">
        <v>4</v>
      </c>
      <c r="B11" s="110" t="s">
        <v>115</v>
      </c>
      <c r="C11" s="105" t="e">
        <f>VLOOKUP(Table257519913140106110151155170178204295[[#This Row],[PEG]],Table1016[#All],2,FALSE)</f>
        <v>#N/A</v>
      </c>
      <c r="D11" s="125"/>
      <c r="E11" s="122" t="e">
        <f>VLOOKUP(Table257519913140106110151155170178204295[[#This Row],[PEG]],Table1016[#All],3,FALSE)</f>
        <v>#N/A</v>
      </c>
    </row>
    <row r="12" spans="1:5">
      <c r="A12" s="114">
        <v>5</v>
      </c>
      <c r="B12" s="110" t="s">
        <v>114</v>
      </c>
      <c r="C12" s="105" t="e">
        <f>VLOOKUP(Table257519913140106110151155170178204295[[#This Row],[PEG]],Table1016[#All],2,FALSE)</f>
        <v>#N/A</v>
      </c>
      <c r="D12" s="125"/>
      <c r="E12" s="122" t="e">
        <f>VLOOKUP(Table257519913140106110151155170178204295[[#This Row],[PEG]],Table1016[#All],3,FALSE)</f>
        <v>#N/A</v>
      </c>
    </row>
    <row r="13" spans="1:5">
      <c r="A13" s="114">
        <v>6</v>
      </c>
      <c r="B13" s="110" t="s">
        <v>115</v>
      </c>
      <c r="C13" s="105" t="e">
        <f>VLOOKUP(Table257519913140106110151155170178204295[[#This Row],[PEG]],Table1016[#All],2,FALSE)</f>
        <v>#N/A</v>
      </c>
      <c r="D13" s="125"/>
      <c r="E13" s="122" t="e">
        <f>VLOOKUP(Table257519913140106110151155170178204295[[#This Row],[PEG]],Table1016[#All],3,FALSE)</f>
        <v>#N/A</v>
      </c>
    </row>
    <row r="14" spans="1:5">
      <c r="A14" s="114">
        <v>7</v>
      </c>
      <c r="B14" s="110" t="s">
        <v>114</v>
      </c>
      <c r="C14" s="105" t="e">
        <f>VLOOKUP(Table257519913140106110151155170178204295[[#This Row],[PEG]],Table1016[#All],2,FALSE)</f>
        <v>#N/A</v>
      </c>
      <c r="D14" s="125"/>
      <c r="E14" s="122" t="e">
        <f>VLOOKUP(Table257519913140106110151155170178204295[[#This Row],[PEG]],Table1016[#All],3,FALSE)</f>
        <v>#N/A</v>
      </c>
    </row>
    <row r="15" spans="1:5">
      <c r="A15" s="114">
        <v>8</v>
      </c>
      <c r="B15" s="110" t="s">
        <v>115</v>
      </c>
      <c r="C15" s="105" t="e">
        <f>VLOOKUP(Table257519913140106110151155170178204295[[#This Row],[PEG]],Table1016[#All],2,FALSE)</f>
        <v>#N/A</v>
      </c>
      <c r="D15" s="112"/>
      <c r="E15" s="122" t="e">
        <f>VLOOKUP(Table257519913140106110151155170178204295[[#This Row],[PEG]],Table1016[#All],3,FALSE)</f>
        <v>#N/A</v>
      </c>
    </row>
    <row r="16" spans="1:5">
      <c r="A16" s="114">
        <v>9</v>
      </c>
      <c r="B16" s="110" t="s">
        <v>12</v>
      </c>
      <c r="C16" s="105" t="e">
        <f>VLOOKUP(Table257519913140106110151155170178204295[[#This Row],[PEG]],Table1016[#All],2,FALSE)</f>
        <v>#N/A</v>
      </c>
      <c r="D16" s="112"/>
      <c r="E16" s="122" t="e">
        <f>VLOOKUP(Table257519913140106110151155170178204295[[#This Row],[PEG]],Table1016[#All],3,FALSE)</f>
        <v>#N/A</v>
      </c>
    </row>
    <row r="17" spans="1:5">
      <c r="A17" s="114">
        <v>10</v>
      </c>
      <c r="B17" s="110" t="s">
        <v>12</v>
      </c>
      <c r="C17" s="105" t="e">
        <f>VLOOKUP(Table257519913140106110151155170178204295[[#This Row],[PEG]],Table1016[#All],2,FALSE)</f>
        <v>#N/A</v>
      </c>
      <c r="D17" s="113"/>
      <c r="E17" s="122" t="e">
        <f>VLOOKUP(Table257519913140106110151155170178204295[[#This Row],[PEG]],Table1016[#All],3,FALSE)</f>
        <v>#N/A</v>
      </c>
    </row>
    <row r="18" spans="1:5">
      <c r="A18" s="114">
        <v>11</v>
      </c>
      <c r="B18" s="110" t="s">
        <v>115</v>
      </c>
      <c r="C18" s="105" t="e">
        <f>VLOOKUP(Table257519913140106110151155170178204295[[#This Row],[PEG]],Table1016[#All],2,FALSE)</f>
        <v>#N/A</v>
      </c>
      <c r="D18" s="113"/>
      <c r="E18" s="122" t="e">
        <f>VLOOKUP(Table257519913140106110151155170178204295[[#This Row],[PEG]],Table1016[#All],3,FALSE)</f>
        <v>#N/A</v>
      </c>
    </row>
    <row r="19" spans="1:5">
      <c r="A19" s="114">
        <v>12</v>
      </c>
      <c r="B19" s="110" t="s">
        <v>115</v>
      </c>
      <c r="C19" s="105" t="e">
        <f>VLOOKUP(Table257519913140106110151155170178204295[[#This Row],[PEG]],Table1016[#All],2,FALSE)</f>
        <v>#N/A</v>
      </c>
      <c r="D19" s="113"/>
      <c r="E19" s="122" t="e">
        <f>VLOOKUP(Table257519913140106110151155170178204295[[#This Row],[PEG]],Table1016[#All],3,FALSE)</f>
        <v>#N/A</v>
      </c>
    </row>
    <row r="20" spans="1:5">
      <c r="A20" s="114">
        <v>13</v>
      </c>
      <c r="B20" s="110" t="s">
        <v>114</v>
      </c>
      <c r="C20" s="105" t="e">
        <f>VLOOKUP(Table257519913140106110151155170178204295[[#This Row],[PEG]],Table1016[#All],2,FALSE)</f>
        <v>#N/A</v>
      </c>
      <c r="D20" s="113"/>
      <c r="E20" s="122" t="e">
        <f>VLOOKUP(Table257519913140106110151155170178204295[[#This Row],[PEG]],Table1016[#All],3,FALSE)</f>
        <v>#N/A</v>
      </c>
    </row>
    <row r="21" spans="1:5">
      <c r="A21" s="114">
        <v>14</v>
      </c>
      <c r="B21" s="110" t="s">
        <v>12</v>
      </c>
      <c r="C21" s="105" t="e">
        <f>VLOOKUP(Table257519913140106110151155170178204295[[#This Row],[PEG]],Table1016[#All],2,FALSE)</f>
        <v>#N/A</v>
      </c>
      <c r="D21" s="113"/>
      <c r="E21" s="122" t="e">
        <f>VLOOKUP(Table257519913140106110151155170178204295[[#This Row],[PEG]],Table1016[#All],3,FALSE)</f>
        <v>#N/A</v>
      </c>
    </row>
    <row r="22" spans="1:5">
      <c r="A22" s="114">
        <v>15</v>
      </c>
      <c r="B22" s="110" t="s">
        <v>12</v>
      </c>
      <c r="C22" s="105" t="e">
        <f>VLOOKUP(Table257519913140106110151155170178204295[[#This Row],[PEG]],Table1016[#All],2,FALSE)</f>
        <v>#N/A</v>
      </c>
      <c r="D22" s="113"/>
      <c r="E22" s="122" t="e">
        <f>VLOOKUP(Table257519913140106110151155170178204295[[#This Row],[PEG]],Table1016[#All],3,FALSE)</f>
        <v>#N/A</v>
      </c>
    </row>
    <row r="23" spans="1:5">
      <c r="A23" s="114">
        <v>16</v>
      </c>
      <c r="B23" s="110" t="s">
        <v>115</v>
      </c>
      <c r="C23" s="105" t="e">
        <f>VLOOKUP(Table257519913140106110151155170178204295[[#This Row],[PEG]],Table1016[#All],2,FALSE)</f>
        <v>#N/A</v>
      </c>
      <c r="D23" s="113"/>
      <c r="E23" s="122" t="e">
        <f>VLOOKUP(Table257519913140106110151155170178204295[[#This Row],[PEG]],Table1016[#All],3,FALSE)</f>
        <v>#N/A</v>
      </c>
    </row>
    <row r="24" spans="1:5">
      <c r="A24" s="114">
        <v>17</v>
      </c>
      <c r="B24" s="110" t="s">
        <v>114</v>
      </c>
      <c r="C24" s="105" t="e">
        <f>VLOOKUP(Table257519913140106110151155170178204295[[#This Row],[PEG]],Table1016[#All],2,FALSE)</f>
        <v>#N/A</v>
      </c>
      <c r="D24" s="113"/>
      <c r="E24" s="122" t="e">
        <f>VLOOKUP(Table257519913140106110151155170178204295[[#This Row],[PEG]],Table1016[#All],3,FALSE)</f>
        <v>#N/A</v>
      </c>
    </row>
    <row r="25" spans="1:5">
      <c r="A25" s="114">
        <v>18</v>
      </c>
      <c r="B25" s="110" t="s">
        <v>12</v>
      </c>
      <c r="C25" s="105" t="e">
        <f>VLOOKUP(Table257519913140106110151155170178204295[[#This Row],[PEG]],Table1016[#All],2,FALSE)</f>
        <v>#N/A</v>
      </c>
      <c r="D25" s="113"/>
      <c r="E25" s="122" t="e">
        <f>VLOOKUP(Table257519913140106110151155170178204295[[#This Row],[PEG]],Table1016[#All],3,FALSE)</f>
        <v>#N/A</v>
      </c>
    </row>
    <row r="26" spans="1:5">
      <c r="A26" s="114">
        <v>19</v>
      </c>
      <c r="B26" s="110" t="s">
        <v>12</v>
      </c>
      <c r="C26" s="105" t="e">
        <f>VLOOKUP(Table257519913140106110151155170178204295[[#This Row],[PEG]],Table1016[#All],2,FALSE)</f>
        <v>#N/A</v>
      </c>
      <c r="D26" s="113"/>
      <c r="E26" s="122" t="e">
        <f>VLOOKUP(Table257519913140106110151155170178204295[[#This Row],[PEG]],Table1016[#All],3,FALSE)</f>
        <v>#N/A</v>
      </c>
    </row>
    <row r="27" spans="1:5">
      <c r="A27" s="114">
        <v>20</v>
      </c>
      <c r="B27" s="110" t="s">
        <v>115</v>
      </c>
      <c r="C27" s="105" t="e">
        <f>VLOOKUP(Table257519913140106110151155170178204295[[#This Row],[PEG]],Table1016[#All],2,FALSE)</f>
        <v>#N/A</v>
      </c>
      <c r="D27" s="113"/>
      <c r="E27" s="122" t="e">
        <f>VLOOKUP(Table257519913140106110151155170178204295[[#This Row],[PEG]],Table1016[#All],3,FALSE)</f>
        <v>#N/A</v>
      </c>
    </row>
    <row r="28" spans="1:5">
      <c r="A28" s="114">
        <v>21</v>
      </c>
      <c r="B28" s="110" t="s">
        <v>114</v>
      </c>
      <c r="C28" s="105" t="e">
        <f>VLOOKUP(Table257519913140106110151155170178204295[[#This Row],[PEG]],Table1016[#All],2,FALSE)</f>
        <v>#N/A</v>
      </c>
      <c r="D28" s="113"/>
      <c r="E28" s="122" t="e">
        <f>VLOOKUP(Table257519913140106110151155170178204295[[#This Row],[PEG]],Table1016[#All],3,FALSE)</f>
        <v>#N/A</v>
      </c>
    </row>
    <row r="29" spans="1:5">
      <c r="A29" s="114">
        <v>22</v>
      </c>
      <c r="B29" s="110" t="s">
        <v>12</v>
      </c>
      <c r="C29" s="105" t="e">
        <f>VLOOKUP(Table257519913140106110151155170178204295[[#This Row],[PEG]],Table1016[#All],2,FALSE)</f>
        <v>#N/A</v>
      </c>
      <c r="D29" s="113"/>
      <c r="E29" s="122" t="e">
        <f>VLOOKUP(Table257519913140106110151155170178204295[[#This Row],[PEG]],Table1016[#All],3,FALSE)</f>
        <v>#N/A</v>
      </c>
    </row>
    <row r="30" spans="1:5">
      <c r="A30" s="114">
        <v>23</v>
      </c>
      <c r="B30" s="110" t="s">
        <v>12</v>
      </c>
      <c r="C30" s="105" t="e">
        <f>VLOOKUP(Table257519913140106110151155170178204295[[#This Row],[PEG]],Table1016[#All],2,FALSE)</f>
        <v>#N/A</v>
      </c>
      <c r="D30" s="113"/>
      <c r="E30" s="122" t="e">
        <f>VLOOKUP(Table257519913140106110151155170178204295[[#This Row],[PEG]],Table1016[#All],3,FALSE)</f>
        <v>#N/A</v>
      </c>
    </row>
    <row r="31" spans="1:5">
      <c r="A31" s="114">
        <v>24</v>
      </c>
      <c r="B31" s="110" t="s">
        <v>115</v>
      </c>
      <c r="C31" s="105" t="e">
        <f>VLOOKUP(Table257519913140106110151155170178204295[[#This Row],[PEG]],Table1016[#All],2,FALSE)</f>
        <v>#N/A</v>
      </c>
      <c r="D31" s="113"/>
      <c r="E31" s="122" t="e">
        <f>VLOOKUP(Table257519913140106110151155170178204295[[#This Row],[PEG]],Table1016[#All],3,FALSE)</f>
        <v>#N/A</v>
      </c>
    </row>
    <row r="32" spans="1:5">
      <c r="A32" s="114">
        <v>25</v>
      </c>
      <c r="B32" s="110" t="s">
        <v>115</v>
      </c>
      <c r="C32" s="105" t="e">
        <f>VLOOKUP(Table257519913140106110151155170178204295[[#This Row],[PEG]],Table1016[#All],2,FALSE)</f>
        <v>#N/A</v>
      </c>
      <c r="D32" s="113"/>
      <c r="E32" s="122" t="e">
        <f>VLOOKUP(Table257519913140106110151155170178204295[[#This Row],[PEG]],Table1016[#All],3,FALSE)</f>
        <v>#N/A</v>
      </c>
    </row>
    <row r="33" spans="1:5">
      <c r="A33" s="114">
        <v>26</v>
      </c>
      <c r="B33" s="110" t="s">
        <v>124</v>
      </c>
      <c r="C33" s="105" t="e">
        <f>VLOOKUP(Table257519913140106110151155170178204295[[#This Row],[PEG]],Table1016[#All],2,FALSE)</f>
        <v>#N/A</v>
      </c>
      <c r="D33" s="113"/>
      <c r="E33" s="122" t="e">
        <f>VLOOKUP(Table257519913140106110151155170178204295[[#This Row],[PEG]],Table1016[#All],3,FALSE)</f>
        <v>#N/A</v>
      </c>
    </row>
    <row r="34" spans="1:5">
      <c r="A34" s="114">
        <v>27</v>
      </c>
      <c r="B34" s="110" t="s">
        <v>115</v>
      </c>
      <c r="C34" s="105" t="e">
        <f>VLOOKUP(Table257519913140106110151155170178204295[[#This Row],[PEG]],Table1016[#All],2,FALSE)</f>
        <v>#N/A</v>
      </c>
      <c r="D34" s="113"/>
      <c r="E34" s="122" t="e">
        <f>VLOOKUP(Table257519913140106110151155170178204295[[#This Row],[PEG]],Table1016[#All],3,FALSE)</f>
        <v>#N/A</v>
      </c>
    </row>
    <row r="35" spans="1:5">
      <c r="A35" s="114">
        <v>28</v>
      </c>
      <c r="B35" s="110" t="s">
        <v>124</v>
      </c>
      <c r="C35" s="105" t="e">
        <f>VLOOKUP(Table257519913140106110151155170178204295[[#This Row],[PEG]],Table1016[#All],2,FALSE)</f>
        <v>#N/A</v>
      </c>
      <c r="D35" s="113"/>
      <c r="E35" s="122" t="e">
        <f>VLOOKUP(Table257519913140106110151155170178204295[[#This Row],[PEG]],Table1016[#All],3,FALSE)</f>
        <v>#N/A</v>
      </c>
    </row>
    <row r="36" spans="1:5">
      <c r="A36" s="114">
        <v>29</v>
      </c>
      <c r="B36" s="110" t="s">
        <v>115</v>
      </c>
      <c r="C36" s="105" t="e">
        <f>VLOOKUP(Table257519913140106110151155170178204295[[#This Row],[PEG]],Table1016[#All],2,FALSE)</f>
        <v>#N/A</v>
      </c>
      <c r="D36" s="113"/>
      <c r="E36" s="122" t="e">
        <f>VLOOKUP(Table257519913140106110151155170178204295[[#This Row],[PEG]],Table1016[#All],3,FALSE)</f>
        <v>#N/A</v>
      </c>
    </row>
    <row r="37" spans="1:5">
      <c r="A37" s="114">
        <v>30</v>
      </c>
      <c r="B37" s="110" t="s">
        <v>12</v>
      </c>
      <c r="C37" s="105" t="e">
        <f>VLOOKUP(Table257519913140106110151155170178204295[[#This Row],[PEG]],Table1016[#All],2,FALSE)</f>
        <v>#N/A</v>
      </c>
      <c r="D37" s="113"/>
      <c r="E37" s="122" t="e">
        <f>VLOOKUP(Table257519913140106110151155170178204295[[#This Row],[PEG]],Table1016[#All],3,FALSE)</f>
        <v>#N/A</v>
      </c>
    </row>
    <row r="38" spans="1:5">
      <c r="A38" s="114">
        <v>31</v>
      </c>
      <c r="B38" s="110" t="s">
        <v>12</v>
      </c>
      <c r="C38" s="105" t="e">
        <f>VLOOKUP(Table257519913140106110151155170178204295[[#This Row],[PEG]],Table1016[#All],2,FALSE)</f>
        <v>#N/A</v>
      </c>
      <c r="D38" s="113"/>
      <c r="E38" s="122" t="e">
        <f>VLOOKUP(Table257519913140106110151155170178204295[[#This Row],[PEG]],Table1016[#All],3,FALSE)</f>
        <v>#N/A</v>
      </c>
    </row>
    <row r="39" spans="1:5">
      <c r="A39" s="114">
        <v>32</v>
      </c>
      <c r="B39" s="110" t="s">
        <v>12</v>
      </c>
      <c r="C39" s="105" t="e">
        <f>VLOOKUP(Table257519913140106110151155170178204295[[#This Row],[PEG]],Table1016[#All],2,FALSE)</f>
        <v>#N/A</v>
      </c>
      <c r="D39" s="113"/>
      <c r="E39" s="122" t="e">
        <f>VLOOKUP(Table257519913140106110151155170178204295[[#This Row],[PEG]],Table1016[#All],3,FALSE)</f>
        <v>#N/A</v>
      </c>
    </row>
    <row r="40" spans="1:5">
      <c r="A40" s="114">
        <v>33</v>
      </c>
      <c r="B40" s="110" t="s">
        <v>12</v>
      </c>
      <c r="C40" s="105" t="e">
        <f>VLOOKUP(Table257519913140106110151155170178204295[[#This Row],[PEG]],Table1016[#All],2,FALSE)</f>
        <v>#N/A</v>
      </c>
      <c r="D40" s="113"/>
      <c r="E40" s="122" t="e">
        <f>VLOOKUP(Table257519913140106110151155170178204295[[#This Row],[PEG]],Table1016[#All],3,FALSE)</f>
        <v>#N/A</v>
      </c>
    </row>
    <row r="41" spans="1:5">
      <c r="A41" s="114">
        <v>34</v>
      </c>
      <c r="B41" s="110" t="s">
        <v>115</v>
      </c>
      <c r="C41" s="105" t="e">
        <f>VLOOKUP(Table257519913140106110151155170178204295[[#This Row],[PEG]],Table1016[#All],2,FALSE)</f>
        <v>#N/A</v>
      </c>
      <c r="D41" s="113"/>
      <c r="E41" s="122" t="e">
        <f>VLOOKUP(Table257519913140106110151155170178204295[[#This Row],[PEG]],Table1016[#All],3,FALSE)</f>
        <v>#N/A</v>
      </c>
    </row>
    <row r="42" spans="1:5">
      <c r="A42" s="114">
        <v>35</v>
      </c>
      <c r="B42" s="110" t="s">
        <v>12</v>
      </c>
      <c r="C42" s="105" t="e">
        <f>VLOOKUP(Table257519913140106110151155170178204295[[#This Row],[PEG]],Table1016[#All],2,FALSE)</f>
        <v>#N/A</v>
      </c>
      <c r="D42" s="111"/>
      <c r="E42" s="122" t="e">
        <f>VLOOKUP(Table257519913140106110151155170178204295[[#This Row],[PEG]],Table1016[#All],3,FALSE)</f>
        <v>#N/A</v>
      </c>
    </row>
    <row r="43" spans="1:5">
      <c r="A43" s="114">
        <v>36</v>
      </c>
      <c r="B43" s="110" t="s">
        <v>115</v>
      </c>
      <c r="C43" s="105" t="e">
        <f>VLOOKUP(Table257519913140106110151155170178204295[[#This Row],[PEG]],Table1016[#All],2,FALSE)</f>
        <v>#N/A</v>
      </c>
      <c r="D43" s="111"/>
      <c r="E43" s="122" t="e">
        <f>VLOOKUP(Table257519913140106110151155170178204295[[#This Row],[PEG]],Table1016[#All],3,FALSE)</f>
        <v>#N/A</v>
      </c>
    </row>
    <row r="44" spans="1:5">
      <c r="A44" s="114">
        <v>37</v>
      </c>
      <c r="B44" s="110" t="s">
        <v>13</v>
      </c>
      <c r="C44" s="17" t="s">
        <v>13</v>
      </c>
      <c r="D44" s="111"/>
      <c r="E44" s="31"/>
    </row>
  </sheetData>
  <mergeCells count="1">
    <mergeCell ref="A1:B1"/>
  </mergeCells>
  <conditionalFormatting sqref="B8:B18">
    <cfRule type="containsText" dxfId="342" priority="1" operator="containsText" text="Hear">
      <formula>NOT(ISERROR(SEARCH("Hear",B8)))</formula>
    </cfRule>
  </conditionalFormatting>
  <conditionalFormatting sqref="B30">
    <cfRule type="containsText" dxfId="341" priority="4" operator="containsText" text="Hear">
      <formula>NOT(ISERROR(SEARCH("Hear",B30)))</formula>
    </cfRule>
  </conditionalFormatting>
  <conditionalFormatting sqref="B43:B44">
    <cfRule type="containsText" dxfId="340" priority="8" operator="containsText" text="Hear">
      <formula>NOT(ISERROR(SEARCH("Hear",B43)))</formula>
    </cfRule>
  </conditionalFormatting>
  <conditionalFormatting sqref="E44">
    <cfRule type="containsText" dxfId="339" priority="6" operator="containsText" text="WEB SERVICE">
      <formula>NOT(ISERROR(SEARCH("WEB SERVICE",E44)))</formula>
    </cfRule>
    <cfRule type="containsText" dxfId="338" priority="7" operator="containsText" text="DB">
      <formula>NOT(ISERROR(SEARCH("DB",E44)))</formula>
    </cfRule>
  </conditionalFormatting>
  <conditionalFormatting sqref="C44">
    <cfRule type="expression" dxfId="337" priority="9">
      <formula>$B44="Dial"</formula>
    </cfRule>
  </conditionalFormatting>
  <conditionalFormatting sqref="C44">
    <cfRule type="expression" dxfId="336" priority="3">
      <formula>$B44="Speak"</formula>
    </cfRule>
  </conditionalFormatting>
  <conditionalFormatting sqref="B19:B29 B31:B35 B42">
    <cfRule type="containsText" dxfId="335" priority="5" operator="containsText" text="Hear">
      <formula>NOT(ISERROR(SEARCH("Hear",B19)))</formula>
    </cfRule>
  </conditionalFormatting>
  <hyperlinks>
    <hyperlink ref="A1" location="'Test Case Overview'!A1" display="Return to Test Case Overview" xr:uid="{00000000-0004-0000-C1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22C5F72A-72D2-4B22-B606-7624773CCDC9}">
            <xm:f>'TC1'!$B8="HANGUP"</xm:f>
            <x14:dxf>
              <font>
                <b/>
                <i val="0"/>
              </font>
            </x14:dxf>
          </x14:cfRule>
          <xm:sqref>C8</xm:sqref>
        </x14:conditionalFormatting>
        <x14:conditionalFormatting xmlns:xm="http://schemas.microsoft.com/office/excel/2006/main">
          <x14:cfRule type="expression" priority="3421" id="{22C5F72A-72D2-4B22-B606-7624773CCDC9}">
            <xm:f>'TC1'!$B14="HANGUP"</xm:f>
            <x14:dxf>
              <font>
                <b/>
                <i val="0"/>
              </font>
            </x14:dxf>
          </x14:cfRule>
          <xm:sqref>C34:C43</xm:sqref>
        </x14:conditionalFormatting>
        <x14:conditionalFormatting xmlns:xm="http://schemas.microsoft.com/office/excel/2006/main">
          <x14:cfRule type="expression" priority="3422" id="{22C5F72A-72D2-4B22-B606-7624773CCDC9}">
            <xm:f>'TC1'!#REF!="HANGUP"</xm:f>
            <x14:dxf>
              <font>
                <b/>
                <i val="0"/>
              </font>
            </x14:dxf>
          </x14:cfRule>
          <xm:sqref>C13:C33</xm:sqref>
        </x14:conditionalFormatting>
        <x14:conditionalFormatting xmlns:xm="http://schemas.microsoft.com/office/excel/2006/main">
          <x14:cfRule type="expression" priority="4637" id="{22C5F72A-72D2-4B22-B606-7624773CCDC9}">
            <xm:f>'TC1'!$B10="HANGUP"</xm:f>
            <x14:dxf>
              <font>
                <b/>
                <i val="0"/>
              </font>
            </x14:dxf>
          </x14:cfRule>
          <xm:sqref>C9:C12</xm:sqref>
        </x14:conditionalFormatting>
      </x14:conditionalFormattings>
    </ext>
  </extLst>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200-000000000000}">
  <sheetPr codeName="Sheet196"/>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TC194</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VLOOKUP(Table257519913140106110151155170178204297[[#This Row],[PEG]],Table1016[#All],2,FALSE)</f>
        <v>#N/A</v>
      </c>
      <c r="D9" s="125"/>
      <c r="E9" s="122" t="e">
        <f>VLOOKUP(Table257519913140106110151155170178204297[[#This Row],[PEG]],Table1016[#All],3,FALSE)</f>
        <v>#N/A</v>
      </c>
    </row>
    <row r="10" spans="1:5">
      <c r="A10" s="114">
        <v>3</v>
      </c>
      <c r="B10" s="110" t="s">
        <v>115</v>
      </c>
      <c r="C10" s="105" t="e">
        <f>VLOOKUP(Table257519913140106110151155170178204297[[#This Row],[PEG]],Table1016[#All],2,FALSE)</f>
        <v>#N/A</v>
      </c>
      <c r="D10" s="125"/>
      <c r="E10" s="122" t="e">
        <f>VLOOKUP(Table257519913140106110151155170178204297[[#This Row],[PEG]],Table1016[#All],3,FALSE)</f>
        <v>#N/A</v>
      </c>
    </row>
    <row r="11" spans="1:5">
      <c r="A11" s="114">
        <v>4</v>
      </c>
      <c r="B11" s="110" t="s">
        <v>115</v>
      </c>
      <c r="C11" s="105" t="e">
        <f>VLOOKUP(Table257519913140106110151155170178204297[[#This Row],[PEG]],Table1016[#All],2,FALSE)</f>
        <v>#N/A</v>
      </c>
      <c r="D11" s="125"/>
      <c r="E11" s="122" t="e">
        <f>VLOOKUP(Table257519913140106110151155170178204297[[#This Row],[PEG]],Table1016[#All],3,FALSE)</f>
        <v>#N/A</v>
      </c>
    </row>
    <row r="12" spans="1:5">
      <c r="A12" s="114">
        <v>5</v>
      </c>
      <c r="B12" s="110" t="s">
        <v>114</v>
      </c>
      <c r="C12" s="105" t="e">
        <f>VLOOKUP(Table257519913140106110151155170178204297[[#This Row],[PEG]],Table1016[#All],2,FALSE)</f>
        <v>#N/A</v>
      </c>
      <c r="D12" s="125"/>
      <c r="E12" s="122" t="e">
        <f>VLOOKUP(Table257519913140106110151155170178204297[[#This Row],[PEG]],Table1016[#All],3,FALSE)</f>
        <v>#N/A</v>
      </c>
    </row>
    <row r="13" spans="1:5">
      <c r="A13" s="114">
        <v>6</v>
      </c>
      <c r="B13" s="110" t="s">
        <v>115</v>
      </c>
      <c r="C13" s="105" t="e">
        <f>VLOOKUP(Table257519913140106110151155170178204297[[#This Row],[PEG]],Table1016[#All],2,FALSE)</f>
        <v>#N/A</v>
      </c>
      <c r="D13" s="125"/>
      <c r="E13" s="122" t="e">
        <f>VLOOKUP(Table257519913140106110151155170178204297[[#This Row],[PEG]],Table1016[#All],3,FALSE)</f>
        <v>#N/A</v>
      </c>
    </row>
    <row r="14" spans="1:5">
      <c r="A14" s="114">
        <v>7</v>
      </c>
      <c r="B14" s="110" t="s">
        <v>114</v>
      </c>
      <c r="C14" s="105" t="e">
        <f>VLOOKUP(Table257519913140106110151155170178204297[[#This Row],[PEG]],Table1016[#All],2,FALSE)</f>
        <v>#N/A</v>
      </c>
      <c r="D14" s="125"/>
      <c r="E14" s="122" t="e">
        <f>VLOOKUP(Table257519913140106110151155170178204297[[#This Row],[PEG]],Table1016[#All],3,FALSE)</f>
        <v>#N/A</v>
      </c>
    </row>
    <row r="15" spans="1:5">
      <c r="A15" s="114">
        <v>8</v>
      </c>
      <c r="B15" s="110" t="s">
        <v>115</v>
      </c>
      <c r="C15" s="105" t="e">
        <f>VLOOKUP(Table257519913140106110151155170178204297[[#This Row],[PEG]],Table1016[#All],2,FALSE)</f>
        <v>#N/A</v>
      </c>
      <c r="D15" s="112"/>
      <c r="E15" s="122" t="e">
        <f>VLOOKUP(Table257519913140106110151155170178204297[[#This Row],[PEG]],Table1016[#All],3,FALSE)</f>
        <v>#N/A</v>
      </c>
    </row>
    <row r="16" spans="1:5">
      <c r="A16" s="114">
        <v>9</v>
      </c>
      <c r="B16" s="110" t="s">
        <v>12</v>
      </c>
      <c r="C16" s="105" t="e">
        <f>VLOOKUP(Table257519913140106110151155170178204297[[#This Row],[PEG]],Table1016[#All],2,FALSE)</f>
        <v>#N/A</v>
      </c>
      <c r="D16" s="112"/>
      <c r="E16" s="122" t="e">
        <f>VLOOKUP(Table257519913140106110151155170178204297[[#This Row],[PEG]],Table1016[#All],3,FALSE)</f>
        <v>#N/A</v>
      </c>
    </row>
    <row r="17" spans="1:5">
      <c r="A17" s="114">
        <v>10</v>
      </c>
      <c r="B17" s="110" t="s">
        <v>12</v>
      </c>
      <c r="C17" s="105" t="e">
        <f>VLOOKUP(Table257519913140106110151155170178204297[[#This Row],[PEG]],Table1016[#All],2,FALSE)</f>
        <v>#N/A</v>
      </c>
      <c r="D17" s="113"/>
      <c r="E17" s="122" t="e">
        <f>VLOOKUP(Table257519913140106110151155170178204297[[#This Row],[PEG]],Table1016[#All],3,FALSE)</f>
        <v>#N/A</v>
      </c>
    </row>
    <row r="18" spans="1:5">
      <c r="A18" s="114">
        <v>11</v>
      </c>
      <c r="B18" s="110" t="s">
        <v>115</v>
      </c>
      <c r="C18" s="105" t="e">
        <f>VLOOKUP(Table257519913140106110151155170178204297[[#This Row],[PEG]],Table1016[#All],2,FALSE)</f>
        <v>#N/A</v>
      </c>
      <c r="D18" s="113"/>
      <c r="E18" s="122" t="e">
        <f>VLOOKUP(Table257519913140106110151155170178204297[[#This Row],[PEG]],Table1016[#All],3,FALSE)</f>
        <v>#N/A</v>
      </c>
    </row>
    <row r="19" spans="1:5">
      <c r="A19" s="114">
        <v>12</v>
      </c>
      <c r="B19" s="110" t="s">
        <v>115</v>
      </c>
      <c r="C19" s="105" t="e">
        <f>VLOOKUP(Table257519913140106110151155170178204297[[#This Row],[PEG]],Table1016[#All],2,FALSE)</f>
        <v>#N/A</v>
      </c>
      <c r="D19" s="113"/>
      <c r="E19" s="122" t="e">
        <f>VLOOKUP(Table257519913140106110151155170178204297[[#This Row],[PEG]],Table1016[#All],3,FALSE)</f>
        <v>#N/A</v>
      </c>
    </row>
    <row r="20" spans="1:5">
      <c r="A20" s="114">
        <v>13</v>
      </c>
      <c r="B20" s="110" t="s">
        <v>114</v>
      </c>
      <c r="C20" s="105" t="e">
        <f>VLOOKUP(Table257519913140106110151155170178204297[[#This Row],[PEG]],Table1016[#All],2,FALSE)</f>
        <v>#N/A</v>
      </c>
      <c r="D20" s="113"/>
      <c r="E20" s="122" t="e">
        <f>VLOOKUP(Table257519913140106110151155170178204297[[#This Row],[PEG]],Table1016[#All],3,FALSE)</f>
        <v>#N/A</v>
      </c>
    </row>
    <row r="21" spans="1:5">
      <c r="A21" s="114">
        <v>14</v>
      </c>
      <c r="B21" s="110" t="s">
        <v>12</v>
      </c>
      <c r="C21" s="105" t="e">
        <f>VLOOKUP(Table257519913140106110151155170178204297[[#This Row],[PEG]],Table1016[#All],2,FALSE)</f>
        <v>#N/A</v>
      </c>
      <c r="D21" s="113"/>
      <c r="E21" s="122" t="e">
        <f>VLOOKUP(Table257519913140106110151155170178204297[[#This Row],[PEG]],Table1016[#All],3,FALSE)</f>
        <v>#N/A</v>
      </c>
    </row>
    <row r="22" spans="1:5">
      <c r="A22" s="114">
        <v>15</v>
      </c>
      <c r="B22" s="110" t="s">
        <v>12</v>
      </c>
      <c r="C22" s="105" t="e">
        <f>VLOOKUP(Table257519913140106110151155170178204297[[#This Row],[PEG]],Table1016[#All],2,FALSE)</f>
        <v>#N/A</v>
      </c>
      <c r="D22" s="113"/>
      <c r="E22" s="122" t="e">
        <f>VLOOKUP(Table257519913140106110151155170178204297[[#This Row],[PEG]],Table1016[#All],3,FALSE)</f>
        <v>#N/A</v>
      </c>
    </row>
    <row r="23" spans="1:5">
      <c r="A23" s="114">
        <v>16</v>
      </c>
      <c r="B23" s="110" t="s">
        <v>115</v>
      </c>
      <c r="C23" s="105" t="e">
        <f>VLOOKUP(Table257519913140106110151155170178204297[[#This Row],[PEG]],Table1016[#All],2,FALSE)</f>
        <v>#N/A</v>
      </c>
      <c r="D23" s="113"/>
      <c r="E23" s="122" t="e">
        <f>VLOOKUP(Table257519913140106110151155170178204297[[#This Row],[PEG]],Table1016[#All],3,FALSE)</f>
        <v>#N/A</v>
      </c>
    </row>
    <row r="24" spans="1:5">
      <c r="A24" s="114">
        <v>17</v>
      </c>
      <c r="B24" s="110" t="s">
        <v>114</v>
      </c>
      <c r="C24" s="105" t="e">
        <f>VLOOKUP(Table257519913140106110151155170178204297[[#This Row],[PEG]],Table1016[#All],2,FALSE)</f>
        <v>#N/A</v>
      </c>
      <c r="D24" s="113"/>
      <c r="E24" s="122" t="e">
        <f>VLOOKUP(Table257519913140106110151155170178204297[[#This Row],[PEG]],Table1016[#All],3,FALSE)</f>
        <v>#N/A</v>
      </c>
    </row>
    <row r="25" spans="1:5">
      <c r="A25" s="114">
        <v>18</v>
      </c>
      <c r="B25" s="110" t="s">
        <v>12</v>
      </c>
      <c r="C25" s="105" t="e">
        <f>VLOOKUP(Table257519913140106110151155170178204297[[#This Row],[PEG]],Table1016[#All],2,FALSE)</f>
        <v>#N/A</v>
      </c>
      <c r="D25" s="113"/>
      <c r="E25" s="122" t="e">
        <f>VLOOKUP(Table257519913140106110151155170178204297[[#This Row],[PEG]],Table1016[#All],3,FALSE)</f>
        <v>#N/A</v>
      </c>
    </row>
    <row r="26" spans="1:5">
      <c r="A26" s="114">
        <v>19</v>
      </c>
      <c r="B26" s="110" t="s">
        <v>12</v>
      </c>
      <c r="C26" s="105" t="e">
        <f>VLOOKUP(Table257519913140106110151155170178204297[[#This Row],[PEG]],Table1016[#All],2,FALSE)</f>
        <v>#N/A</v>
      </c>
      <c r="D26" s="113"/>
      <c r="E26" s="122" t="e">
        <f>VLOOKUP(Table257519913140106110151155170178204297[[#This Row],[PEG]],Table1016[#All],3,FALSE)</f>
        <v>#N/A</v>
      </c>
    </row>
    <row r="27" spans="1:5">
      <c r="A27" s="114">
        <v>20</v>
      </c>
      <c r="B27" s="110" t="s">
        <v>115</v>
      </c>
      <c r="C27" s="105" t="e">
        <f>VLOOKUP(Table257519913140106110151155170178204297[[#This Row],[PEG]],Table1016[#All],2,FALSE)</f>
        <v>#N/A</v>
      </c>
      <c r="D27" s="113"/>
      <c r="E27" s="122" t="e">
        <f>VLOOKUP(Table257519913140106110151155170178204297[[#This Row],[PEG]],Table1016[#All],3,FALSE)</f>
        <v>#N/A</v>
      </c>
    </row>
    <row r="28" spans="1:5">
      <c r="A28" s="114">
        <v>21</v>
      </c>
      <c r="B28" s="110" t="s">
        <v>114</v>
      </c>
      <c r="C28" s="105" t="e">
        <f>VLOOKUP(Table257519913140106110151155170178204297[[#This Row],[PEG]],Table1016[#All],2,FALSE)</f>
        <v>#N/A</v>
      </c>
      <c r="D28" s="113"/>
      <c r="E28" s="122" t="e">
        <f>VLOOKUP(Table257519913140106110151155170178204297[[#This Row],[PEG]],Table1016[#All],3,FALSE)</f>
        <v>#N/A</v>
      </c>
    </row>
    <row r="29" spans="1:5">
      <c r="A29" s="114">
        <v>22</v>
      </c>
      <c r="B29" s="110" t="s">
        <v>12</v>
      </c>
      <c r="C29" s="105" t="e">
        <f>VLOOKUP(Table257519913140106110151155170178204297[[#This Row],[PEG]],Table1016[#All],2,FALSE)</f>
        <v>#N/A</v>
      </c>
      <c r="D29" s="113"/>
      <c r="E29" s="122" t="e">
        <f>VLOOKUP(Table257519913140106110151155170178204297[[#This Row],[PEG]],Table1016[#All],3,FALSE)</f>
        <v>#N/A</v>
      </c>
    </row>
    <row r="30" spans="1:5">
      <c r="A30" s="114">
        <v>23</v>
      </c>
      <c r="B30" s="110" t="s">
        <v>12</v>
      </c>
      <c r="C30" s="105" t="e">
        <f>VLOOKUP(Table257519913140106110151155170178204297[[#This Row],[PEG]],Table1016[#All],2,FALSE)</f>
        <v>#N/A</v>
      </c>
      <c r="D30" s="113"/>
      <c r="E30" s="122" t="e">
        <f>VLOOKUP(Table257519913140106110151155170178204297[[#This Row],[PEG]],Table1016[#All],3,FALSE)</f>
        <v>#N/A</v>
      </c>
    </row>
    <row r="31" spans="1:5">
      <c r="A31" s="114">
        <v>24</v>
      </c>
      <c r="B31" s="110" t="s">
        <v>115</v>
      </c>
      <c r="C31" s="105" t="e">
        <f>VLOOKUP(Table257519913140106110151155170178204297[[#This Row],[PEG]],Table1016[#All],2,FALSE)</f>
        <v>#N/A</v>
      </c>
      <c r="D31" s="113"/>
      <c r="E31" s="122" t="e">
        <f>VLOOKUP(Table257519913140106110151155170178204297[[#This Row],[PEG]],Table1016[#All],3,FALSE)</f>
        <v>#N/A</v>
      </c>
    </row>
    <row r="32" spans="1:5">
      <c r="A32" s="114">
        <v>25</v>
      </c>
      <c r="B32" s="110" t="s">
        <v>115</v>
      </c>
      <c r="C32" s="105" t="e">
        <f>VLOOKUP(Table257519913140106110151155170178204297[[#This Row],[PEG]],Table1016[#All],2,FALSE)</f>
        <v>#N/A</v>
      </c>
      <c r="D32" s="113"/>
      <c r="E32" s="122" t="e">
        <f>VLOOKUP(Table257519913140106110151155170178204297[[#This Row],[PEG]],Table1016[#All],3,FALSE)</f>
        <v>#N/A</v>
      </c>
    </row>
    <row r="33" spans="1:5">
      <c r="A33" s="114">
        <v>26</v>
      </c>
      <c r="B33" s="110" t="s">
        <v>124</v>
      </c>
      <c r="C33" s="105" t="e">
        <f>VLOOKUP(Table257519913140106110151155170178204297[[#This Row],[PEG]],Table1016[#All],2,FALSE)</f>
        <v>#N/A</v>
      </c>
      <c r="D33" s="113"/>
      <c r="E33" s="122" t="e">
        <f>VLOOKUP(Table257519913140106110151155170178204297[[#This Row],[PEG]],Table1016[#All],3,FALSE)</f>
        <v>#N/A</v>
      </c>
    </row>
    <row r="34" spans="1:5">
      <c r="A34" s="114">
        <v>27</v>
      </c>
      <c r="B34" s="110" t="s">
        <v>115</v>
      </c>
      <c r="C34" s="105" t="e">
        <f>VLOOKUP(Table257519913140106110151155170178204297[[#This Row],[PEG]],Table1016[#All],2,FALSE)</f>
        <v>#N/A</v>
      </c>
      <c r="D34" s="113"/>
      <c r="E34" s="122" t="e">
        <f>VLOOKUP(Table257519913140106110151155170178204297[[#This Row],[PEG]],Table1016[#All],3,FALSE)</f>
        <v>#N/A</v>
      </c>
    </row>
    <row r="35" spans="1:5">
      <c r="A35" s="114">
        <v>28</v>
      </c>
      <c r="B35" s="110" t="s">
        <v>124</v>
      </c>
      <c r="C35" s="105" t="e">
        <f>VLOOKUP(Table257519913140106110151155170178204297[[#This Row],[PEG]],Table1016[#All],2,FALSE)</f>
        <v>#N/A</v>
      </c>
      <c r="D35" s="113"/>
      <c r="E35" s="122" t="e">
        <f>VLOOKUP(Table257519913140106110151155170178204297[[#This Row],[PEG]],Table1016[#All],3,FALSE)</f>
        <v>#N/A</v>
      </c>
    </row>
    <row r="36" spans="1:5">
      <c r="A36" s="114">
        <v>29</v>
      </c>
      <c r="B36" s="110" t="s">
        <v>115</v>
      </c>
      <c r="C36" s="105" t="e">
        <f>VLOOKUP(Table257519913140106110151155170178204297[[#This Row],[PEG]],Table1016[#All],2,FALSE)</f>
        <v>#N/A</v>
      </c>
      <c r="D36" s="113"/>
      <c r="E36" s="122" t="e">
        <f>VLOOKUP(Table257519913140106110151155170178204297[[#This Row],[PEG]],Table1016[#All],3,FALSE)</f>
        <v>#N/A</v>
      </c>
    </row>
    <row r="37" spans="1:5">
      <c r="A37" s="114">
        <v>30</v>
      </c>
      <c r="B37" s="110" t="s">
        <v>12</v>
      </c>
      <c r="C37" s="105" t="e">
        <f>VLOOKUP(Table257519913140106110151155170178204297[[#This Row],[PEG]],Table1016[#All],2,FALSE)</f>
        <v>#N/A</v>
      </c>
      <c r="D37" s="113"/>
      <c r="E37" s="122" t="e">
        <f>VLOOKUP(Table257519913140106110151155170178204297[[#This Row],[PEG]],Table1016[#All],3,FALSE)</f>
        <v>#N/A</v>
      </c>
    </row>
    <row r="38" spans="1:5">
      <c r="A38" s="114">
        <v>31</v>
      </c>
      <c r="B38" s="110" t="s">
        <v>12</v>
      </c>
      <c r="C38" s="105" t="e">
        <f>VLOOKUP(Table257519913140106110151155170178204297[[#This Row],[PEG]],Table1016[#All],2,FALSE)</f>
        <v>#N/A</v>
      </c>
      <c r="D38" s="113"/>
      <c r="E38" s="122" t="e">
        <f>VLOOKUP(Table257519913140106110151155170178204297[[#This Row],[PEG]],Table1016[#All],3,FALSE)</f>
        <v>#N/A</v>
      </c>
    </row>
    <row r="39" spans="1:5">
      <c r="A39" s="114">
        <v>32</v>
      </c>
      <c r="B39" s="110" t="s">
        <v>12</v>
      </c>
      <c r="C39" s="105" t="e">
        <f>VLOOKUP(Table257519913140106110151155170178204297[[#This Row],[PEG]],Table1016[#All],2,FALSE)</f>
        <v>#N/A</v>
      </c>
      <c r="D39" s="113"/>
      <c r="E39" s="122" t="e">
        <f>VLOOKUP(Table257519913140106110151155170178204297[[#This Row],[PEG]],Table1016[#All],3,FALSE)</f>
        <v>#N/A</v>
      </c>
    </row>
    <row r="40" spans="1:5">
      <c r="A40" s="114">
        <v>33</v>
      </c>
      <c r="B40" s="110" t="s">
        <v>12</v>
      </c>
      <c r="C40" s="105" t="e">
        <f>VLOOKUP(Table257519913140106110151155170178204297[[#This Row],[PEG]],Table1016[#All],2,FALSE)</f>
        <v>#N/A</v>
      </c>
      <c r="D40" s="113"/>
      <c r="E40" s="122" t="e">
        <f>VLOOKUP(Table257519913140106110151155170178204297[[#This Row],[PEG]],Table1016[#All],3,FALSE)</f>
        <v>#N/A</v>
      </c>
    </row>
    <row r="41" spans="1:5">
      <c r="A41" s="114">
        <v>34</v>
      </c>
      <c r="B41" s="110" t="s">
        <v>115</v>
      </c>
      <c r="C41" s="105" t="e">
        <f>VLOOKUP(Table257519913140106110151155170178204297[[#This Row],[PEG]],Table1016[#All],2,FALSE)</f>
        <v>#N/A</v>
      </c>
      <c r="D41" s="113"/>
      <c r="E41" s="122" t="e">
        <f>VLOOKUP(Table257519913140106110151155170178204297[[#This Row],[PEG]],Table1016[#All],3,FALSE)</f>
        <v>#N/A</v>
      </c>
    </row>
    <row r="42" spans="1:5">
      <c r="A42" s="114">
        <v>35</v>
      </c>
      <c r="B42" s="110" t="s">
        <v>12</v>
      </c>
      <c r="C42" s="105" t="e">
        <f>VLOOKUP(Table257519913140106110151155170178204297[[#This Row],[PEG]],Table1016[#All],2,FALSE)</f>
        <v>#N/A</v>
      </c>
      <c r="D42" s="111"/>
      <c r="E42" s="122" t="e">
        <f>VLOOKUP(Table257519913140106110151155170178204297[[#This Row],[PEG]],Table1016[#All],3,FALSE)</f>
        <v>#N/A</v>
      </c>
    </row>
    <row r="43" spans="1:5">
      <c r="A43" s="114">
        <v>36</v>
      </c>
      <c r="B43" s="110" t="s">
        <v>115</v>
      </c>
      <c r="C43" s="105" t="e">
        <f>VLOOKUP(Table257519913140106110151155170178204297[[#This Row],[PEG]],Table1016[#All],2,FALSE)</f>
        <v>#N/A</v>
      </c>
      <c r="D43" s="111"/>
      <c r="E43" s="122" t="e">
        <f>VLOOKUP(Table257519913140106110151155170178204297[[#This Row],[PEG]],Table1016[#All],3,FALSE)</f>
        <v>#N/A</v>
      </c>
    </row>
    <row r="44" spans="1:5">
      <c r="A44" s="114">
        <v>37</v>
      </c>
      <c r="B44" s="110" t="s">
        <v>13</v>
      </c>
      <c r="C44" s="17" t="s">
        <v>13</v>
      </c>
      <c r="D44" s="111"/>
      <c r="E44" s="31"/>
    </row>
  </sheetData>
  <mergeCells count="1">
    <mergeCell ref="A1:B1"/>
  </mergeCells>
  <conditionalFormatting sqref="B8:B18">
    <cfRule type="containsText" dxfId="321" priority="1" operator="containsText" text="Hear">
      <formula>NOT(ISERROR(SEARCH("Hear",B8)))</formula>
    </cfRule>
  </conditionalFormatting>
  <conditionalFormatting sqref="B30">
    <cfRule type="containsText" dxfId="320" priority="4" operator="containsText" text="Hear">
      <formula>NOT(ISERROR(SEARCH("Hear",B30)))</formula>
    </cfRule>
  </conditionalFormatting>
  <conditionalFormatting sqref="B43:B44">
    <cfRule type="containsText" dxfId="319" priority="8" operator="containsText" text="Hear">
      <formula>NOT(ISERROR(SEARCH("Hear",B43)))</formula>
    </cfRule>
  </conditionalFormatting>
  <conditionalFormatting sqref="E44">
    <cfRule type="containsText" dxfId="318" priority="6" operator="containsText" text="WEB SERVICE">
      <formula>NOT(ISERROR(SEARCH("WEB SERVICE",E44)))</formula>
    </cfRule>
    <cfRule type="containsText" dxfId="317" priority="7" operator="containsText" text="DB">
      <formula>NOT(ISERROR(SEARCH("DB",E44)))</formula>
    </cfRule>
  </conditionalFormatting>
  <conditionalFormatting sqref="C44">
    <cfRule type="expression" dxfId="316" priority="9">
      <formula>$B44="Dial"</formula>
    </cfRule>
  </conditionalFormatting>
  <conditionalFormatting sqref="C44">
    <cfRule type="expression" dxfId="315" priority="3">
      <formula>$B44="Speak"</formula>
    </cfRule>
  </conditionalFormatting>
  <conditionalFormatting sqref="B19:B29 B31:B35 B42">
    <cfRule type="containsText" dxfId="314" priority="5" operator="containsText" text="Hear">
      <formula>NOT(ISERROR(SEARCH("Hear",B19)))</formula>
    </cfRule>
  </conditionalFormatting>
  <hyperlinks>
    <hyperlink ref="A1" location="'Test Case Overview'!A1" display="Return to Test Case Overview" xr:uid="{00000000-0004-0000-C2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600F9746-5CEB-474D-9861-731B900054B7}">
            <xm:f>'TC1'!$B8="HANGUP"</xm:f>
            <x14:dxf>
              <font>
                <b/>
                <i val="0"/>
              </font>
            </x14:dxf>
          </x14:cfRule>
          <xm:sqref>C8</xm:sqref>
        </x14:conditionalFormatting>
        <x14:conditionalFormatting xmlns:xm="http://schemas.microsoft.com/office/excel/2006/main">
          <x14:cfRule type="expression" priority="3425" id="{600F9746-5CEB-474D-9861-731B900054B7}">
            <xm:f>'TC1'!$B14="HANGUP"</xm:f>
            <x14:dxf>
              <font>
                <b/>
                <i val="0"/>
              </font>
            </x14:dxf>
          </x14:cfRule>
          <xm:sqref>C34:C43</xm:sqref>
        </x14:conditionalFormatting>
        <x14:conditionalFormatting xmlns:xm="http://schemas.microsoft.com/office/excel/2006/main">
          <x14:cfRule type="expression" priority="3426" id="{600F9746-5CEB-474D-9861-731B900054B7}">
            <xm:f>'TC1'!#REF!="HANGUP"</xm:f>
            <x14:dxf>
              <font>
                <b/>
                <i val="0"/>
              </font>
            </x14:dxf>
          </x14:cfRule>
          <xm:sqref>C13:C33</xm:sqref>
        </x14:conditionalFormatting>
        <x14:conditionalFormatting xmlns:xm="http://schemas.microsoft.com/office/excel/2006/main">
          <x14:cfRule type="expression" priority="4639" id="{600F9746-5CEB-474D-9861-731B900054B7}">
            <xm:f>'TC1'!$B10="HANGUP"</xm:f>
            <x14:dxf>
              <font>
                <b/>
                <i val="0"/>
              </font>
            </x14:dxf>
          </x14:cfRule>
          <xm:sqref>C9:C12</xm:sqref>
        </x14:conditionalFormatting>
      </x14:conditionalFormattings>
    </ext>
  </extLst>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300-000000000000}">
  <sheetPr codeName="Sheet197"/>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TC195</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VLOOKUP(Table257519913140106110151155170178204299[[#This Row],[PEG]],Table1016[#All],2,FALSE)</f>
        <v>#N/A</v>
      </c>
      <c r="D9" s="125"/>
      <c r="E9" s="122" t="e">
        <f>VLOOKUP(Table257519913140106110151155170178204299[[#This Row],[PEG]],Table1016[#All],3,FALSE)</f>
        <v>#N/A</v>
      </c>
    </row>
    <row r="10" spans="1:5">
      <c r="A10" s="114">
        <v>3</v>
      </c>
      <c r="B10" s="110" t="s">
        <v>115</v>
      </c>
      <c r="C10" s="105" t="e">
        <f>VLOOKUP(Table257519913140106110151155170178204299[[#This Row],[PEG]],Table1016[#All],2,FALSE)</f>
        <v>#N/A</v>
      </c>
      <c r="D10" s="125"/>
      <c r="E10" s="122" t="e">
        <f>VLOOKUP(Table257519913140106110151155170178204299[[#This Row],[PEG]],Table1016[#All],3,FALSE)</f>
        <v>#N/A</v>
      </c>
    </row>
    <row r="11" spans="1:5">
      <c r="A11" s="114">
        <v>4</v>
      </c>
      <c r="B11" s="110" t="s">
        <v>115</v>
      </c>
      <c r="C11" s="105" t="e">
        <f>VLOOKUP(Table257519913140106110151155170178204299[[#This Row],[PEG]],Table1016[#All],2,FALSE)</f>
        <v>#N/A</v>
      </c>
      <c r="D11" s="125"/>
      <c r="E11" s="122" t="e">
        <f>VLOOKUP(Table257519913140106110151155170178204299[[#This Row],[PEG]],Table1016[#All],3,FALSE)</f>
        <v>#N/A</v>
      </c>
    </row>
    <row r="12" spans="1:5">
      <c r="A12" s="114">
        <v>5</v>
      </c>
      <c r="B12" s="110" t="s">
        <v>114</v>
      </c>
      <c r="C12" s="105" t="e">
        <f>VLOOKUP(Table257519913140106110151155170178204299[[#This Row],[PEG]],Table1016[#All],2,FALSE)</f>
        <v>#N/A</v>
      </c>
      <c r="D12" s="125"/>
      <c r="E12" s="122" t="e">
        <f>VLOOKUP(Table257519913140106110151155170178204299[[#This Row],[PEG]],Table1016[#All],3,FALSE)</f>
        <v>#N/A</v>
      </c>
    </row>
    <row r="13" spans="1:5">
      <c r="A13" s="114">
        <v>6</v>
      </c>
      <c r="B13" s="110" t="s">
        <v>115</v>
      </c>
      <c r="C13" s="105" t="e">
        <f>VLOOKUP(Table257519913140106110151155170178204299[[#This Row],[PEG]],Table1016[#All],2,FALSE)</f>
        <v>#N/A</v>
      </c>
      <c r="D13" s="125"/>
      <c r="E13" s="122" t="e">
        <f>VLOOKUP(Table257519913140106110151155170178204299[[#This Row],[PEG]],Table1016[#All],3,FALSE)</f>
        <v>#N/A</v>
      </c>
    </row>
    <row r="14" spans="1:5">
      <c r="A14" s="114">
        <v>7</v>
      </c>
      <c r="B14" s="110" t="s">
        <v>114</v>
      </c>
      <c r="C14" s="105" t="e">
        <f>VLOOKUP(Table257519913140106110151155170178204299[[#This Row],[PEG]],Table1016[#All],2,FALSE)</f>
        <v>#N/A</v>
      </c>
      <c r="D14" s="125"/>
      <c r="E14" s="122" t="e">
        <f>VLOOKUP(Table257519913140106110151155170178204299[[#This Row],[PEG]],Table1016[#All],3,FALSE)</f>
        <v>#N/A</v>
      </c>
    </row>
    <row r="15" spans="1:5">
      <c r="A15" s="114">
        <v>8</v>
      </c>
      <c r="B15" s="110" t="s">
        <v>115</v>
      </c>
      <c r="C15" s="105" t="e">
        <f>VLOOKUP(Table257519913140106110151155170178204299[[#This Row],[PEG]],Table1016[#All],2,FALSE)</f>
        <v>#N/A</v>
      </c>
      <c r="D15" s="112"/>
      <c r="E15" s="122" t="e">
        <f>VLOOKUP(Table257519913140106110151155170178204299[[#This Row],[PEG]],Table1016[#All],3,FALSE)</f>
        <v>#N/A</v>
      </c>
    </row>
    <row r="16" spans="1:5">
      <c r="A16" s="114">
        <v>9</v>
      </c>
      <c r="B16" s="110" t="s">
        <v>12</v>
      </c>
      <c r="C16" s="105" t="e">
        <f>VLOOKUP(Table257519913140106110151155170178204299[[#This Row],[PEG]],Table1016[#All],2,FALSE)</f>
        <v>#N/A</v>
      </c>
      <c r="D16" s="112"/>
      <c r="E16" s="122" t="e">
        <f>VLOOKUP(Table257519913140106110151155170178204299[[#This Row],[PEG]],Table1016[#All],3,FALSE)</f>
        <v>#N/A</v>
      </c>
    </row>
    <row r="17" spans="1:5">
      <c r="A17" s="114">
        <v>10</v>
      </c>
      <c r="B17" s="110" t="s">
        <v>12</v>
      </c>
      <c r="C17" s="105" t="e">
        <f>VLOOKUP(Table257519913140106110151155170178204299[[#This Row],[PEG]],Table1016[#All],2,FALSE)</f>
        <v>#N/A</v>
      </c>
      <c r="D17" s="113"/>
      <c r="E17" s="122" t="e">
        <f>VLOOKUP(Table257519913140106110151155170178204299[[#This Row],[PEG]],Table1016[#All],3,FALSE)</f>
        <v>#N/A</v>
      </c>
    </row>
    <row r="18" spans="1:5">
      <c r="A18" s="114">
        <v>11</v>
      </c>
      <c r="B18" s="110" t="s">
        <v>115</v>
      </c>
      <c r="C18" s="105" t="e">
        <f>VLOOKUP(Table257519913140106110151155170178204299[[#This Row],[PEG]],Table1016[#All],2,FALSE)</f>
        <v>#N/A</v>
      </c>
      <c r="D18" s="113"/>
      <c r="E18" s="122" t="e">
        <f>VLOOKUP(Table257519913140106110151155170178204299[[#This Row],[PEG]],Table1016[#All],3,FALSE)</f>
        <v>#N/A</v>
      </c>
    </row>
    <row r="19" spans="1:5">
      <c r="A19" s="114">
        <v>12</v>
      </c>
      <c r="B19" s="110" t="s">
        <v>115</v>
      </c>
      <c r="C19" s="105" t="e">
        <f>VLOOKUP(Table257519913140106110151155170178204299[[#This Row],[PEG]],Table1016[#All],2,FALSE)</f>
        <v>#N/A</v>
      </c>
      <c r="D19" s="113"/>
      <c r="E19" s="122" t="e">
        <f>VLOOKUP(Table257519913140106110151155170178204299[[#This Row],[PEG]],Table1016[#All],3,FALSE)</f>
        <v>#N/A</v>
      </c>
    </row>
    <row r="20" spans="1:5">
      <c r="A20" s="114">
        <v>13</v>
      </c>
      <c r="B20" s="110" t="s">
        <v>114</v>
      </c>
      <c r="C20" s="105" t="e">
        <f>VLOOKUP(Table257519913140106110151155170178204299[[#This Row],[PEG]],Table1016[#All],2,FALSE)</f>
        <v>#N/A</v>
      </c>
      <c r="D20" s="113"/>
      <c r="E20" s="122" t="e">
        <f>VLOOKUP(Table257519913140106110151155170178204299[[#This Row],[PEG]],Table1016[#All],3,FALSE)</f>
        <v>#N/A</v>
      </c>
    </row>
    <row r="21" spans="1:5">
      <c r="A21" s="114">
        <v>14</v>
      </c>
      <c r="B21" s="110" t="s">
        <v>12</v>
      </c>
      <c r="C21" s="105" t="e">
        <f>VLOOKUP(Table257519913140106110151155170178204299[[#This Row],[PEG]],Table1016[#All],2,FALSE)</f>
        <v>#N/A</v>
      </c>
      <c r="D21" s="113"/>
      <c r="E21" s="122" t="e">
        <f>VLOOKUP(Table257519913140106110151155170178204299[[#This Row],[PEG]],Table1016[#All],3,FALSE)</f>
        <v>#N/A</v>
      </c>
    </row>
    <row r="22" spans="1:5">
      <c r="A22" s="114">
        <v>15</v>
      </c>
      <c r="B22" s="110" t="s">
        <v>12</v>
      </c>
      <c r="C22" s="105" t="e">
        <f>VLOOKUP(Table257519913140106110151155170178204299[[#This Row],[PEG]],Table1016[#All],2,FALSE)</f>
        <v>#N/A</v>
      </c>
      <c r="D22" s="113"/>
      <c r="E22" s="122" t="e">
        <f>VLOOKUP(Table257519913140106110151155170178204299[[#This Row],[PEG]],Table1016[#All],3,FALSE)</f>
        <v>#N/A</v>
      </c>
    </row>
    <row r="23" spans="1:5">
      <c r="A23" s="114">
        <v>16</v>
      </c>
      <c r="B23" s="110" t="s">
        <v>115</v>
      </c>
      <c r="C23" s="105" t="e">
        <f>VLOOKUP(Table257519913140106110151155170178204299[[#This Row],[PEG]],Table1016[#All],2,FALSE)</f>
        <v>#N/A</v>
      </c>
      <c r="D23" s="113"/>
      <c r="E23" s="122" t="e">
        <f>VLOOKUP(Table257519913140106110151155170178204299[[#This Row],[PEG]],Table1016[#All],3,FALSE)</f>
        <v>#N/A</v>
      </c>
    </row>
    <row r="24" spans="1:5">
      <c r="A24" s="114">
        <v>17</v>
      </c>
      <c r="B24" s="110" t="s">
        <v>114</v>
      </c>
      <c r="C24" s="105" t="e">
        <f>VLOOKUP(Table257519913140106110151155170178204299[[#This Row],[PEG]],Table1016[#All],2,FALSE)</f>
        <v>#N/A</v>
      </c>
      <c r="D24" s="113"/>
      <c r="E24" s="122" t="e">
        <f>VLOOKUP(Table257519913140106110151155170178204299[[#This Row],[PEG]],Table1016[#All],3,FALSE)</f>
        <v>#N/A</v>
      </c>
    </row>
    <row r="25" spans="1:5">
      <c r="A25" s="114">
        <v>18</v>
      </c>
      <c r="B25" s="110" t="s">
        <v>12</v>
      </c>
      <c r="C25" s="105" t="e">
        <f>VLOOKUP(Table257519913140106110151155170178204299[[#This Row],[PEG]],Table1016[#All],2,FALSE)</f>
        <v>#N/A</v>
      </c>
      <c r="D25" s="113"/>
      <c r="E25" s="122" t="e">
        <f>VLOOKUP(Table257519913140106110151155170178204299[[#This Row],[PEG]],Table1016[#All],3,FALSE)</f>
        <v>#N/A</v>
      </c>
    </row>
    <row r="26" spans="1:5">
      <c r="A26" s="114">
        <v>19</v>
      </c>
      <c r="B26" s="110" t="s">
        <v>12</v>
      </c>
      <c r="C26" s="105" t="e">
        <f>VLOOKUP(Table257519913140106110151155170178204299[[#This Row],[PEG]],Table1016[#All],2,FALSE)</f>
        <v>#N/A</v>
      </c>
      <c r="D26" s="113"/>
      <c r="E26" s="122" t="e">
        <f>VLOOKUP(Table257519913140106110151155170178204299[[#This Row],[PEG]],Table1016[#All],3,FALSE)</f>
        <v>#N/A</v>
      </c>
    </row>
    <row r="27" spans="1:5">
      <c r="A27" s="114">
        <v>20</v>
      </c>
      <c r="B27" s="110" t="s">
        <v>115</v>
      </c>
      <c r="C27" s="105" t="e">
        <f>VLOOKUP(Table257519913140106110151155170178204299[[#This Row],[PEG]],Table1016[#All],2,FALSE)</f>
        <v>#N/A</v>
      </c>
      <c r="D27" s="113"/>
      <c r="E27" s="122" t="e">
        <f>VLOOKUP(Table257519913140106110151155170178204299[[#This Row],[PEG]],Table1016[#All],3,FALSE)</f>
        <v>#N/A</v>
      </c>
    </row>
    <row r="28" spans="1:5">
      <c r="A28" s="114">
        <v>21</v>
      </c>
      <c r="B28" s="110" t="s">
        <v>114</v>
      </c>
      <c r="C28" s="105" t="e">
        <f>VLOOKUP(Table257519913140106110151155170178204299[[#This Row],[PEG]],Table1016[#All],2,FALSE)</f>
        <v>#N/A</v>
      </c>
      <c r="D28" s="113"/>
      <c r="E28" s="122" t="e">
        <f>VLOOKUP(Table257519913140106110151155170178204299[[#This Row],[PEG]],Table1016[#All],3,FALSE)</f>
        <v>#N/A</v>
      </c>
    </row>
    <row r="29" spans="1:5">
      <c r="A29" s="114">
        <v>22</v>
      </c>
      <c r="B29" s="110" t="s">
        <v>12</v>
      </c>
      <c r="C29" s="105" t="e">
        <f>VLOOKUP(Table257519913140106110151155170178204299[[#This Row],[PEG]],Table1016[#All],2,FALSE)</f>
        <v>#N/A</v>
      </c>
      <c r="D29" s="113"/>
      <c r="E29" s="122" t="e">
        <f>VLOOKUP(Table257519913140106110151155170178204299[[#This Row],[PEG]],Table1016[#All],3,FALSE)</f>
        <v>#N/A</v>
      </c>
    </row>
    <row r="30" spans="1:5">
      <c r="A30" s="114">
        <v>23</v>
      </c>
      <c r="B30" s="110" t="s">
        <v>12</v>
      </c>
      <c r="C30" s="105" t="e">
        <f>VLOOKUP(Table257519913140106110151155170178204299[[#This Row],[PEG]],Table1016[#All],2,FALSE)</f>
        <v>#N/A</v>
      </c>
      <c r="D30" s="113"/>
      <c r="E30" s="122" t="e">
        <f>VLOOKUP(Table257519913140106110151155170178204299[[#This Row],[PEG]],Table1016[#All],3,FALSE)</f>
        <v>#N/A</v>
      </c>
    </row>
    <row r="31" spans="1:5">
      <c r="A31" s="114">
        <v>24</v>
      </c>
      <c r="B31" s="110" t="s">
        <v>115</v>
      </c>
      <c r="C31" s="105" t="e">
        <f>VLOOKUP(Table257519913140106110151155170178204299[[#This Row],[PEG]],Table1016[#All],2,FALSE)</f>
        <v>#N/A</v>
      </c>
      <c r="D31" s="113"/>
      <c r="E31" s="122" t="e">
        <f>VLOOKUP(Table257519913140106110151155170178204299[[#This Row],[PEG]],Table1016[#All],3,FALSE)</f>
        <v>#N/A</v>
      </c>
    </row>
    <row r="32" spans="1:5">
      <c r="A32" s="114">
        <v>25</v>
      </c>
      <c r="B32" s="110" t="s">
        <v>115</v>
      </c>
      <c r="C32" s="105" t="e">
        <f>VLOOKUP(Table257519913140106110151155170178204299[[#This Row],[PEG]],Table1016[#All],2,FALSE)</f>
        <v>#N/A</v>
      </c>
      <c r="D32" s="113"/>
      <c r="E32" s="122" t="e">
        <f>VLOOKUP(Table257519913140106110151155170178204299[[#This Row],[PEG]],Table1016[#All],3,FALSE)</f>
        <v>#N/A</v>
      </c>
    </row>
    <row r="33" spans="1:5">
      <c r="A33" s="114">
        <v>26</v>
      </c>
      <c r="B33" s="110" t="s">
        <v>124</v>
      </c>
      <c r="C33" s="105" t="e">
        <f>VLOOKUP(Table257519913140106110151155170178204299[[#This Row],[PEG]],Table1016[#All],2,FALSE)</f>
        <v>#N/A</v>
      </c>
      <c r="D33" s="113"/>
      <c r="E33" s="122" t="e">
        <f>VLOOKUP(Table257519913140106110151155170178204299[[#This Row],[PEG]],Table1016[#All],3,FALSE)</f>
        <v>#N/A</v>
      </c>
    </row>
    <row r="34" spans="1:5">
      <c r="A34" s="114">
        <v>27</v>
      </c>
      <c r="B34" s="110" t="s">
        <v>115</v>
      </c>
      <c r="C34" s="105" t="e">
        <f>VLOOKUP(Table257519913140106110151155170178204299[[#This Row],[PEG]],Table1016[#All],2,FALSE)</f>
        <v>#N/A</v>
      </c>
      <c r="D34" s="113"/>
      <c r="E34" s="122" t="e">
        <f>VLOOKUP(Table257519913140106110151155170178204299[[#This Row],[PEG]],Table1016[#All],3,FALSE)</f>
        <v>#N/A</v>
      </c>
    </row>
    <row r="35" spans="1:5">
      <c r="A35" s="114">
        <v>28</v>
      </c>
      <c r="B35" s="110" t="s">
        <v>124</v>
      </c>
      <c r="C35" s="105" t="e">
        <f>VLOOKUP(Table257519913140106110151155170178204299[[#This Row],[PEG]],Table1016[#All],2,FALSE)</f>
        <v>#N/A</v>
      </c>
      <c r="D35" s="113"/>
      <c r="E35" s="122" t="e">
        <f>VLOOKUP(Table257519913140106110151155170178204299[[#This Row],[PEG]],Table1016[#All],3,FALSE)</f>
        <v>#N/A</v>
      </c>
    </row>
    <row r="36" spans="1:5">
      <c r="A36" s="114">
        <v>29</v>
      </c>
      <c r="B36" s="110" t="s">
        <v>115</v>
      </c>
      <c r="C36" s="105" t="e">
        <f>VLOOKUP(Table257519913140106110151155170178204299[[#This Row],[PEG]],Table1016[#All],2,FALSE)</f>
        <v>#N/A</v>
      </c>
      <c r="D36" s="113"/>
      <c r="E36" s="122" t="e">
        <f>VLOOKUP(Table257519913140106110151155170178204299[[#This Row],[PEG]],Table1016[#All],3,FALSE)</f>
        <v>#N/A</v>
      </c>
    </row>
    <row r="37" spans="1:5">
      <c r="A37" s="114">
        <v>30</v>
      </c>
      <c r="B37" s="110" t="s">
        <v>12</v>
      </c>
      <c r="C37" s="105" t="e">
        <f>VLOOKUP(Table257519913140106110151155170178204299[[#This Row],[PEG]],Table1016[#All],2,FALSE)</f>
        <v>#N/A</v>
      </c>
      <c r="D37" s="113"/>
      <c r="E37" s="122" t="e">
        <f>VLOOKUP(Table257519913140106110151155170178204299[[#This Row],[PEG]],Table1016[#All],3,FALSE)</f>
        <v>#N/A</v>
      </c>
    </row>
    <row r="38" spans="1:5">
      <c r="A38" s="114">
        <v>31</v>
      </c>
      <c r="B38" s="110" t="s">
        <v>12</v>
      </c>
      <c r="C38" s="105" t="e">
        <f>VLOOKUP(Table257519913140106110151155170178204299[[#This Row],[PEG]],Table1016[#All],2,FALSE)</f>
        <v>#N/A</v>
      </c>
      <c r="D38" s="113"/>
      <c r="E38" s="122" t="e">
        <f>VLOOKUP(Table257519913140106110151155170178204299[[#This Row],[PEG]],Table1016[#All],3,FALSE)</f>
        <v>#N/A</v>
      </c>
    </row>
    <row r="39" spans="1:5">
      <c r="A39" s="114">
        <v>32</v>
      </c>
      <c r="B39" s="110" t="s">
        <v>12</v>
      </c>
      <c r="C39" s="105" t="e">
        <f>VLOOKUP(Table257519913140106110151155170178204299[[#This Row],[PEG]],Table1016[#All],2,FALSE)</f>
        <v>#N/A</v>
      </c>
      <c r="D39" s="113"/>
      <c r="E39" s="122" t="e">
        <f>VLOOKUP(Table257519913140106110151155170178204299[[#This Row],[PEG]],Table1016[#All],3,FALSE)</f>
        <v>#N/A</v>
      </c>
    </row>
    <row r="40" spans="1:5">
      <c r="A40" s="114">
        <v>33</v>
      </c>
      <c r="B40" s="110" t="s">
        <v>12</v>
      </c>
      <c r="C40" s="105" t="e">
        <f>VLOOKUP(Table257519913140106110151155170178204299[[#This Row],[PEG]],Table1016[#All],2,FALSE)</f>
        <v>#N/A</v>
      </c>
      <c r="D40" s="113"/>
      <c r="E40" s="122" t="e">
        <f>VLOOKUP(Table257519913140106110151155170178204299[[#This Row],[PEG]],Table1016[#All],3,FALSE)</f>
        <v>#N/A</v>
      </c>
    </row>
    <row r="41" spans="1:5">
      <c r="A41" s="114">
        <v>34</v>
      </c>
      <c r="B41" s="110" t="s">
        <v>115</v>
      </c>
      <c r="C41" s="105" t="e">
        <f>VLOOKUP(Table257519913140106110151155170178204299[[#This Row],[PEG]],Table1016[#All],2,FALSE)</f>
        <v>#N/A</v>
      </c>
      <c r="D41" s="113"/>
      <c r="E41" s="122" t="e">
        <f>VLOOKUP(Table257519913140106110151155170178204299[[#This Row],[PEG]],Table1016[#All],3,FALSE)</f>
        <v>#N/A</v>
      </c>
    </row>
    <row r="42" spans="1:5">
      <c r="A42" s="114">
        <v>35</v>
      </c>
      <c r="B42" s="110" t="s">
        <v>12</v>
      </c>
      <c r="C42" s="105" t="e">
        <f>VLOOKUP(Table257519913140106110151155170178204299[[#This Row],[PEG]],Table1016[#All],2,FALSE)</f>
        <v>#N/A</v>
      </c>
      <c r="D42" s="111"/>
      <c r="E42" s="122" t="e">
        <f>VLOOKUP(Table257519913140106110151155170178204299[[#This Row],[PEG]],Table1016[#All],3,FALSE)</f>
        <v>#N/A</v>
      </c>
    </row>
    <row r="43" spans="1:5">
      <c r="A43" s="114">
        <v>36</v>
      </c>
      <c r="B43" s="110" t="s">
        <v>115</v>
      </c>
      <c r="C43" s="105" t="e">
        <f>VLOOKUP(Table257519913140106110151155170178204299[[#This Row],[PEG]],Table1016[#All],2,FALSE)</f>
        <v>#N/A</v>
      </c>
      <c r="D43" s="111"/>
      <c r="E43" s="122" t="e">
        <f>VLOOKUP(Table257519913140106110151155170178204299[[#This Row],[PEG]],Table1016[#All],3,FALSE)</f>
        <v>#N/A</v>
      </c>
    </row>
    <row r="44" spans="1:5">
      <c r="A44" s="114">
        <v>37</v>
      </c>
      <c r="B44" s="110" t="s">
        <v>13</v>
      </c>
      <c r="C44" s="17" t="s">
        <v>13</v>
      </c>
      <c r="D44" s="111"/>
      <c r="E44" s="31"/>
    </row>
  </sheetData>
  <mergeCells count="1">
    <mergeCell ref="A1:B1"/>
  </mergeCells>
  <conditionalFormatting sqref="B8:B18">
    <cfRule type="containsText" dxfId="300" priority="1" operator="containsText" text="Hear">
      <formula>NOT(ISERROR(SEARCH("Hear",B8)))</formula>
    </cfRule>
  </conditionalFormatting>
  <conditionalFormatting sqref="B30">
    <cfRule type="containsText" dxfId="299" priority="4" operator="containsText" text="Hear">
      <formula>NOT(ISERROR(SEARCH("Hear",B30)))</formula>
    </cfRule>
  </conditionalFormatting>
  <conditionalFormatting sqref="B43:B44">
    <cfRule type="containsText" dxfId="298" priority="8" operator="containsText" text="Hear">
      <formula>NOT(ISERROR(SEARCH("Hear",B43)))</formula>
    </cfRule>
  </conditionalFormatting>
  <conditionalFormatting sqref="E44">
    <cfRule type="containsText" dxfId="297" priority="6" operator="containsText" text="WEB SERVICE">
      <formula>NOT(ISERROR(SEARCH("WEB SERVICE",E44)))</formula>
    </cfRule>
    <cfRule type="containsText" dxfId="296" priority="7" operator="containsText" text="DB">
      <formula>NOT(ISERROR(SEARCH("DB",E44)))</formula>
    </cfRule>
  </conditionalFormatting>
  <conditionalFormatting sqref="C44">
    <cfRule type="expression" dxfId="295" priority="9">
      <formula>$B44="Dial"</formula>
    </cfRule>
  </conditionalFormatting>
  <conditionalFormatting sqref="C44">
    <cfRule type="expression" dxfId="294" priority="3">
      <formula>$B44="Speak"</formula>
    </cfRule>
  </conditionalFormatting>
  <conditionalFormatting sqref="B19:B29 B31:B35 B42">
    <cfRule type="containsText" dxfId="293" priority="5" operator="containsText" text="Hear">
      <formula>NOT(ISERROR(SEARCH("Hear",B19)))</formula>
    </cfRule>
  </conditionalFormatting>
  <hyperlinks>
    <hyperlink ref="A1" location="'Test Case Overview'!A1" display="Return to Test Case Overview" xr:uid="{00000000-0004-0000-C3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7DFE696A-41AB-4EBC-9A2A-5003E91B7698}">
            <xm:f>'TC1'!$B8="HANGUP"</xm:f>
            <x14:dxf>
              <font>
                <b/>
                <i val="0"/>
              </font>
            </x14:dxf>
          </x14:cfRule>
          <xm:sqref>C8</xm:sqref>
        </x14:conditionalFormatting>
        <x14:conditionalFormatting xmlns:xm="http://schemas.microsoft.com/office/excel/2006/main">
          <x14:cfRule type="expression" priority="3429" id="{7DFE696A-41AB-4EBC-9A2A-5003E91B7698}">
            <xm:f>'TC1'!$B14="HANGUP"</xm:f>
            <x14:dxf>
              <font>
                <b/>
                <i val="0"/>
              </font>
            </x14:dxf>
          </x14:cfRule>
          <xm:sqref>C34:C43</xm:sqref>
        </x14:conditionalFormatting>
        <x14:conditionalFormatting xmlns:xm="http://schemas.microsoft.com/office/excel/2006/main">
          <x14:cfRule type="expression" priority="3430" id="{7DFE696A-41AB-4EBC-9A2A-5003E91B7698}">
            <xm:f>'TC1'!#REF!="HANGUP"</xm:f>
            <x14:dxf>
              <font>
                <b/>
                <i val="0"/>
              </font>
            </x14:dxf>
          </x14:cfRule>
          <xm:sqref>C13:C33</xm:sqref>
        </x14:conditionalFormatting>
        <x14:conditionalFormatting xmlns:xm="http://schemas.microsoft.com/office/excel/2006/main">
          <x14:cfRule type="expression" priority="4641" id="{7DFE696A-41AB-4EBC-9A2A-5003E91B7698}">
            <xm:f>'TC1'!$B10="HANGUP"</xm:f>
            <x14:dxf>
              <font>
                <b/>
                <i val="0"/>
              </font>
            </x14:dxf>
          </x14:cfRule>
          <xm:sqref>C9:C12</xm:sqref>
        </x14:conditionalFormatting>
      </x14:conditionalFormattings>
    </ext>
  </extLst>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400-000000000000}">
  <sheetPr codeName="Sheet198"/>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TC196</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VLOOKUP(Table257519913140106110151155170178204301[[#This Row],[PEG]],Table1016[#All],2,FALSE)</f>
        <v>#N/A</v>
      </c>
      <c r="D9" s="125"/>
      <c r="E9" s="122" t="e">
        <f>VLOOKUP(Table257519913140106110151155170178204301[[#This Row],[PEG]],Table1016[#All],3,FALSE)</f>
        <v>#N/A</v>
      </c>
    </row>
    <row r="10" spans="1:5">
      <c r="A10" s="114">
        <v>3</v>
      </c>
      <c r="B10" s="110" t="s">
        <v>115</v>
      </c>
      <c r="C10" s="105" t="e">
        <f>VLOOKUP(Table257519913140106110151155170178204301[[#This Row],[PEG]],Table1016[#All],2,FALSE)</f>
        <v>#N/A</v>
      </c>
      <c r="D10" s="125"/>
      <c r="E10" s="122" t="e">
        <f>VLOOKUP(Table257519913140106110151155170178204301[[#This Row],[PEG]],Table1016[#All],3,FALSE)</f>
        <v>#N/A</v>
      </c>
    </row>
    <row r="11" spans="1:5">
      <c r="A11" s="114">
        <v>4</v>
      </c>
      <c r="B11" s="110" t="s">
        <v>115</v>
      </c>
      <c r="C11" s="105" t="e">
        <f>VLOOKUP(Table257519913140106110151155170178204301[[#This Row],[PEG]],Table1016[#All],2,FALSE)</f>
        <v>#N/A</v>
      </c>
      <c r="D11" s="125"/>
      <c r="E11" s="122" t="e">
        <f>VLOOKUP(Table257519913140106110151155170178204301[[#This Row],[PEG]],Table1016[#All],3,FALSE)</f>
        <v>#N/A</v>
      </c>
    </row>
    <row r="12" spans="1:5">
      <c r="A12" s="114">
        <v>5</v>
      </c>
      <c r="B12" s="110" t="s">
        <v>114</v>
      </c>
      <c r="C12" s="105" t="e">
        <f>VLOOKUP(Table257519913140106110151155170178204301[[#This Row],[PEG]],Table1016[#All],2,FALSE)</f>
        <v>#N/A</v>
      </c>
      <c r="D12" s="125"/>
      <c r="E12" s="122" t="e">
        <f>VLOOKUP(Table257519913140106110151155170178204301[[#This Row],[PEG]],Table1016[#All],3,FALSE)</f>
        <v>#N/A</v>
      </c>
    </row>
    <row r="13" spans="1:5">
      <c r="A13" s="114">
        <v>6</v>
      </c>
      <c r="B13" s="110" t="s">
        <v>115</v>
      </c>
      <c r="C13" s="105" t="e">
        <f>VLOOKUP(Table257519913140106110151155170178204301[[#This Row],[PEG]],Table1016[#All],2,FALSE)</f>
        <v>#N/A</v>
      </c>
      <c r="D13" s="125"/>
      <c r="E13" s="122" t="e">
        <f>VLOOKUP(Table257519913140106110151155170178204301[[#This Row],[PEG]],Table1016[#All],3,FALSE)</f>
        <v>#N/A</v>
      </c>
    </row>
    <row r="14" spans="1:5">
      <c r="A14" s="114">
        <v>7</v>
      </c>
      <c r="B14" s="110" t="s">
        <v>114</v>
      </c>
      <c r="C14" s="105" t="e">
        <f>VLOOKUP(Table257519913140106110151155170178204301[[#This Row],[PEG]],Table1016[#All],2,FALSE)</f>
        <v>#N/A</v>
      </c>
      <c r="D14" s="125"/>
      <c r="E14" s="122" t="e">
        <f>VLOOKUP(Table257519913140106110151155170178204301[[#This Row],[PEG]],Table1016[#All],3,FALSE)</f>
        <v>#N/A</v>
      </c>
    </row>
    <row r="15" spans="1:5">
      <c r="A15" s="114">
        <v>8</v>
      </c>
      <c r="B15" s="110" t="s">
        <v>115</v>
      </c>
      <c r="C15" s="105" t="e">
        <f>VLOOKUP(Table257519913140106110151155170178204301[[#This Row],[PEG]],Table1016[#All],2,FALSE)</f>
        <v>#N/A</v>
      </c>
      <c r="D15" s="112"/>
      <c r="E15" s="122" t="e">
        <f>VLOOKUP(Table257519913140106110151155170178204301[[#This Row],[PEG]],Table1016[#All],3,FALSE)</f>
        <v>#N/A</v>
      </c>
    </row>
    <row r="16" spans="1:5">
      <c r="A16" s="114">
        <v>9</v>
      </c>
      <c r="B16" s="110" t="s">
        <v>12</v>
      </c>
      <c r="C16" s="105" t="e">
        <f>VLOOKUP(Table257519913140106110151155170178204301[[#This Row],[PEG]],Table1016[#All],2,FALSE)</f>
        <v>#N/A</v>
      </c>
      <c r="D16" s="112"/>
      <c r="E16" s="122" t="e">
        <f>VLOOKUP(Table257519913140106110151155170178204301[[#This Row],[PEG]],Table1016[#All],3,FALSE)</f>
        <v>#N/A</v>
      </c>
    </row>
    <row r="17" spans="1:5">
      <c r="A17" s="114">
        <v>10</v>
      </c>
      <c r="B17" s="110" t="s">
        <v>12</v>
      </c>
      <c r="C17" s="105" t="e">
        <f>VLOOKUP(Table257519913140106110151155170178204301[[#This Row],[PEG]],Table1016[#All],2,FALSE)</f>
        <v>#N/A</v>
      </c>
      <c r="D17" s="113"/>
      <c r="E17" s="122" t="e">
        <f>VLOOKUP(Table257519913140106110151155170178204301[[#This Row],[PEG]],Table1016[#All],3,FALSE)</f>
        <v>#N/A</v>
      </c>
    </row>
    <row r="18" spans="1:5">
      <c r="A18" s="114">
        <v>11</v>
      </c>
      <c r="B18" s="110" t="s">
        <v>115</v>
      </c>
      <c r="C18" s="105" t="e">
        <f>VLOOKUP(Table257519913140106110151155170178204301[[#This Row],[PEG]],Table1016[#All],2,FALSE)</f>
        <v>#N/A</v>
      </c>
      <c r="D18" s="113"/>
      <c r="E18" s="122" t="e">
        <f>VLOOKUP(Table257519913140106110151155170178204301[[#This Row],[PEG]],Table1016[#All],3,FALSE)</f>
        <v>#N/A</v>
      </c>
    </row>
    <row r="19" spans="1:5">
      <c r="A19" s="114">
        <v>12</v>
      </c>
      <c r="B19" s="110" t="s">
        <v>115</v>
      </c>
      <c r="C19" s="105" t="e">
        <f>VLOOKUP(Table257519913140106110151155170178204301[[#This Row],[PEG]],Table1016[#All],2,FALSE)</f>
        <v>#N/A</v>
      </c>
      <c r="D19" s="113"/>
      <c r="E19" s="122" t="e">
        <f>VLOOKUP(Table257519913140106110151155170178204301[[#This Row],[PEG]],Table1016[#All],3,FALSE)</f>
        <v>#N/A</v>
      </c>
    </row>
    <row r="20" spans="1:5">
      <c r="A20" s="114">
        <v>13</v>
      </c>
      <c r="B20" s="110" t="s">
        <v>114</v>
      </c>
      <c r="C20" s="105" t="e">
        <f>VLOOKUP(Table257519913140106110151155170178204301[[#This Row],[PEG]],Table1016[#All],2,FALSE)</f>
        <v>#N/A</v>
      </c>
      <c r="D20" s="113"/>
      <c r="E20" s="122" t="e">
        <f>VLOOKUP(Table257519913140106110151155170178204301[[#This Row],[PEG]],Table1016[#All],3,FALSE)</f>
        <v>#N/A</v>
      </c>
    </row>
    <row r="21" spans="1:5">
      <c r="A21" s="114">
        <v>14</v>
      </c>
      <c r="B21" s="110" t="s">
        <v>12</v>
      </c>
      <c r="C21" s="105" t="e">
        <f>VLOOKUP(Table257519913140106110151155170178204301[[#This Row],[PEG]],Table1016[#All],2,FALSE)</f>
        <v>#N/A</v>
      </c>
      <c r="D21" s="113"/>
      <c r="E21" s="122" t="e">
        <f>VLOOKUP(Table257519913140106110151155170178204301[[#This Row],[PEG]],Table1016[#All],3,FALSE)</f>
        <v>#N/A</v>
      </c>
    </row>
    <row r="22" spans="1:5">
      <c r="A22" s="114">
        <v>15</v>
      </c>
      <c r="B22" s="110" t="s">
        <v>12</v>
      </c>
      <c r="C22" s="105" t="e">
        <f>VLOOKUP(Table257519913140106110151155170178204301[[#This Row],[PEG]],Table1016[#All],2,FALSE)</f>
        <v>#N/A</v>
      </c>
      <c r="D22" s="113"/>
      <c r="E22" s="122" t="e">
        <f>VLOOKUP(Table257519913140106110151155170178204301[[#This Row],[PEG]],Table1016[#All],3,FALSE)</f>
        <v>#N/A</v>
      </c>
    </row>
    <row r="23" spans="1:5">
      <c r="A23" s="114">
        <v>16</v>
      </c>
      <c r="B23" s="110" t="s">
        <v>115</v>
      </c>
      <c r="C23" s="105" t="e">
        <f>VLOOKUP(Table257519913140106110151155170178204301[[#This Row],[PEG]],Table1016[#All],2,FALSE)</f>
        <v>#N/A</v>
      </c>
      <c r="D23" s="113"/>
      <c r="E23" s="122" t="e">
        <f>VLOOKUP(Table257519913140106110151155170178204301[[#This Row],[PEG]],Table1016[#All],3,FALSE)</f>
        <v>#N/A</v>
      </c>
    </row>
    <row r="24" spans="1:5">
      <c r="A24" s="114">
        <v>17</v>
      </c>
      <c r="B24" s="110" t="s">
        <v>114</v>
      </c>
      <c r="C24" s="105" t="e">
        <f>VLOOKUP(Table257519913140106110151155170178204301[[#This Row],[PEG]],Table1016[#All],2,FALSE)</f>
        <v>#N/A</v>
      </c>
      <c r="D24" s="113"/>
      <c r="E24" s="122" t="e">
        <f>VLOOKUP(Table257519913140106110151155170178204301[[#This Row],[PEG]],Table1016[#All],3,FALSE)</f>
        <v>#N/A</v>
      </c>
    </row>
    <row r="25" spans="1:5">
      <c r="A25" s="114">
        <v>18</v>
      </c>
      <c r="B25" s="110" t="s">
        <v>12</v>
      </c>
      <c r="C25" s="105" t="e">
        <f>VLOOKUP(Table257519913140106110151155170178204301[[#This Row],[PEG]],Table1016[#All],2,FALSE)</f>
        <v>#N/A</v>
      </c>
      <c r="D25" s="113"/>
      <c r="E25" s="122" t="e">
        <f>VLOOKUP(Table257519913140106110151155170178204301[[#This Row],[PEG]],Table1016[#All],3,FALSE)</f>
        <v>#N/A</v>
      </c>
    </row>
    <row r="26" spans="1:5">
      <c r="A26" s="114">
        <v>19</v>
      </c>
      <c r="B26" s="110" t="s">
        <v>12</v>
      </c>
      <c r="C26" s="105" t="e">
        <f>VLOOKUP(Table257519913140106110151155170178204301[[#This Row],[PEG]],Table1016[#All],2,FALSE)</f>
        <v>#N/A</v>
      </c>
      <c r="D26" s="113"/>
      <c r="E26" s="122" t="e">
        <f>VLOOKUP(Table257519913140106110151155170178204301[[#This Row],[PEG]],Table1016[#All],3,FALSE)</f>
        <v>#N/A</v>
      </c>
    </row>
    <row r="27" spans="1:5">
      <c r="A27" s="114">
        <v>20</v>
      </c>
      <c r="B27" s="110" t="s">
        <v>115</v>
      </c>
      <c r="C27" s="105" t="e">
        <f>VLOOKUP(Table257519913140106110151155170178204301[[#This Row],[PEG]],Table1016[#All],2,FALSE)</f>
        <v>#N/A</v>
      </c>
      <c r="D27" s="113"/>
      <c r="E27" s="122" t="e">
        <f>VLOOKUP(Table257519913140106110151155170178204301[[#This Row],[PEG]],Table1016[#All],3,FALSE)</f>
        <v>#N/A</v>
      </c>
    </row>
    <row r="28" spans="1:5">
      <c r="A28" s="114">
        <v>21</v>
      </c>
      <c r="B28" s="110" t="s">
        <v>114</v>
      </c>
      <c r="C28" s="105" t="e">
        <f>VLOOKUP(Table257519913140106110151155170178204301[[#This Row],[PEG]],Table1016[#All],2,FALSE)</f>
        <v>#N/A</v>
      </c>
      <c r="D28" s="113"/>
      <c r="E28" s="122" t="e">
        <f>VLOOKUP(Table257519913140106110151155170178204301[[#This Row],[PEG]],Table1016[#All],3,FALSE)</f>
        <v>#N/A</v>
      </c>
    </row>
    <row r="29" spans="1:5">
      <c r="A29" s="114">
        <v>22</v>
      </c>
      <c r="B29" s="110" t="s">
        <v>12</v>
      </c>
      <c r="C29" s="105" t="e">
        <f>VLOOKUP(Table257519913140106110151155170178204301[[#This Row],[PEG]],Table1016[#All],2,FALSE)</f>
        <v>#N/A</v>
      </c>
      <c r="D29" s="113"/>
      <c r="E29" s="122" t="e">
        <f>VLOOKUP(Table257519913140106110151155170178204301[[#This Row],[PEG]],Table1016[#All],3,FALSE)</f>
        <v>#N/A</v>
      </c>
    </row>
    <row r="30" spans="1:5">
      <c r="A30" s="114">
        <v>23</v>
      </c>
      <c r="B30" s="110" t="s">
        <v>12</v>
      </c>
      <c r="C30" s="105" t="e">
        <f>VLOOKUP(Table257519913140106110151155170178204301[[#This Row],[PEG]],Table1016[#All],2,FALSE)</f>
        <v>#N/A</v>
      </c>
      <c r="D30" s="113"/>
      <c r="E30" s="122" t="e">
        <f>VLOOKUP(Table257519913140106110151155170178204301[[#This Row],[PEG]],Table1016[#All],3,FALSE)</f>
        <v>#N/A</v>
      </c>
    </row>
    <row r="31" spans="1:5">
      <c r="A31" s="114">
        <v>24</v>
      </c>
      <c r="B31" s="110" t="s">
        <v>115</v>
      </c>
      <c r="C31" s="105" t="e">
        <f>VLOOKUP(Table257519913140106110151155170178204301[[#This Row],[PEG]],Table1016[#All],2,FALSE)</f>
        <v>#N/A</v>
      </c>
      <c r="D31" s="113"/>
      <c r="E31" s="122" t="e">
        <f>VLOOKUP(Table257519913140106110151155170178204301[[#This Row],[PEG]],Table1016[#All],3,FALSE)</f>
        <v>#N/A</v>
      </c>
    </row>
    <row r="32" spans="1:5">
      <c r="A32" s="114">
        <v>25</v>
      </c>
      <c r="B32" s="110" t="s">
        <v>115</v>
      </c>
      <c r="C32" s="105" t="e">
        <f>VLOOKUP(Table257519913140106110151155170178204301[[#This Row],[PEG]],Table1016[#All],2,FALSE)</f>
        <v>#N/A</v>
      </c>
      <c r="D32" s="113"/>
      <c r="E32" s="122" t="e">
        <f>VLOOKUP(Table257519913140106110151155170178204301[[#This Row],[PEG]],Table1016[#All],3,FALSE)</f>
        <v>#N/A</v>
      </c>
    </row>
    <row r="33" spans="1:5">
      <c r="A33" s="114">
        <v>26</v>
      </c>
      <c r="B33" s="110" t="s">
        <v>124</v>
      </c>
      <c r="C33" s="105" t="e">
        <f>VLOOKUP(Table257519913140106110151155170178204301[[#This Row],[PEG]],Table1016[#All],2,FALSE)</f>
        <v>#N/A</v>
      </c>
      <c r="D33" s="113"/>
      <c r="E33" s="122" t="e">
        <f>VLOOKUP(Table257519913140106110151155170178204301[[#This Row],[PEG]],Table1016[#All],3,FALSE)</f>
        <v>#N/A</v>
      </c>
    </row>
    <row r="34" spans="1:5">
      <c r="A34" s="114">
        <v>27</v>
      </c>
      <c r="B34" s="110" t="s">
        <v>115</v>
      </c>
      <c r="C34" s="105" t="e">
        <f>VLOOKUP(Table257519913140106110151155170178204301[[#This Row],[PEG]],Table1016[#All],2,FALSE)</f>
        <v>#N/A</v>
      </c>
      <c r="D34" s="113"/>
      <c r="E34" s="122" t="e">
        <f>VLOOKUP(Table257519913140106110151155170178204301[[#This Row],[PEG]],Table1016[#All],3,FALSE)</f>
        <v>#N/A</v>
      </c>
    </row>
    <row r="35" spans="1:5">
      <c r="A35" s="114">
        <v>28</v>
      </c>
      <c r="B35" s="110" t="s">
        <v>124</v>
      </c>
      <c r="C35" s="105" t="e">
        <f>VLOOKUP(Table257519913140106110151155170178204301[[#This Row],[PEG]],Table1016[#All],2,FALSE)</f>
        <v>#N/A</v>
      </c>
      <c r="D35" s="113"/>
      <c r="E35" s="122" t="e">
        <f>VLOOKUP(Table257519913140106110151155170178204301[[#This Row],[PEG]],Table1016[#All],3,FALSE)</f>
        <v>#N/A</v>
      </c>
    </row>
    <row r="36" spans="1:5">
      <c r="A36" s="114">
        <v>29</v>
      </c>
      <c r="B36" s="110" t="s">
        <v>115</v>
      </c>
      <c r="C36" s="105" t="e">
        <f>VLOOKUP(Table257519913140106110151155170178204301[[#This Row],[PEG]],Table1016[#All],2,FALSE)</f>
        <v>#N/A</v>
      </c>
      <c r="D36" s="113"/>
      <c r="E36" s="122" t="e">
        <f>VLOOKUP(Table257519913140106110151155170178204301[[#This Row],[PEG]],Table1016[#All],3,FALSE)</f>
        <v>#N/A</v>
      </c>
    </row>
    <row r="37" spans="1:5">
      <c r="A37" s="114">
        <v>30</v>
      </c>
      <c r="B37" s="110" t="s">
        <v>12</v>
      </c>
      <c r="C37" s="105" t="e">
        <f>VLOOKUP(Table257519913140106110151155170178204301[[#This Row],[PEG]],Table1016[#All],2,FALSE)</f>
        <v>#N/A</v>
      </c>
      <c r="D37" s="113"/>
      <c r="E37" s="122" t="e">
        <f>VLOOKUP(Table257519913140106110151155170178204301[[#This Row],[PEG]],Table1016[#All],3,FALSE)</f>
        <v>#N/A</v>
      </c>
    </row>
    <row r="38" spans="1:5">
      <c r="A38" s="114">
        <v>31</v>
      </c>
      <c r="B38" s="110" t="s">
        <v>12</v>
      </c>
      <c r="C38" s="105" t="e">
        <f>VLOOKUP(Table257519913140106110151155170178204301[[#This Row],[PEG]],Table1016[#All],2,FALSE)</f>
        <v>#N/A</v>
      </c>
      <c r="D38" s="113"/>
      <c r="E38" s="122" t="e">
        <f>VLOOKUP(Table257519913140106110151155170178204301[[#This Row],[PEG]],Table1016[#All],3,FALSE)</f>
        <v>#N/A</v>
      </c>
    </row>
    <row r="39" spans="1:5">
      <c r="A39" s="114">
        <v>32</v>
      </c>
      <c r="B39" s="110" t="s">
        <v>12</v>
      </c>
      <c r="C39" s="105" t="e">
        <f>VLOOKUP(Table257519913140106110151155170178204301[[#This Row],[PEG]],Table1016[#All],2,FALSE)</f>
        <v>#N/A</v>
      </c>
      <c r="D39" s="113"/>
      <c r="E39" s="122" t="e">
        <f>VLOOKUP(Table257519913140106110151155170178204301[[#This Row],[PEG]],Table1016[#All],3,FALSE)</f>
        <v>#N/A</v>
      </c>
    </row>
    <row r="40" spans="1:5">
      <c r="A40" s="114">
        <v>33</v>
      </c>
      <c r="B40" s="110" t="s">
        <v>12</v>
      </c>
      <c r="C40" s="105" t="e">
        <f>VLOOKUP(Table257519913140106110151155170178204301[[#This Row],[PEG]],Table1016[#All],2,FALSE)</f>
        <v>#N/A</v>
      </c>
      <c r="D40" s="113"/>
      <c r="E40" s="122" t="e">
        <f>VLOOKUP(Table257519913140106110151155170178204301[[#This Row],[PEG]],Table1016[#All],3,FALSE)</f>
        <v>#N/A</v>
      </c>
    </row>
    <row r="41" spans="1:5">
      <c r="A41" s="114">
        <v>34</v>
      </c>
      <c r="B41" s="110" t="s">
        <v>115</v>
      </c>
      <c r="C41" s="105" t="e">
        <f>VLOOKUP(Table257519913140106110151155170178204301[[#This Row],[PEG]],Table1016[#All],2,FALSE)</f>
        <v>#N/A</v>
      </c>
      <c r="D41" s="113"/>
      <c r="E41" s="122" t="e">
        <f>VLOOKUP(Table257519913140106110151155170178204301[[#This Row],[PEG]],Table1016[#All],3,FALSE)</f>
        <v>#N/A</v>
      </c>
    </row>
    <row r="42" spans="1:5">
      <c r="A42" s="114">
        <v>35</v>
      </c>
      <c r="B42" s="110" t="s">
        <v>12</v>
      </c>
      <c r="C42" s="105" t="e">
        <f>VLOOKUP(Table257519913140106110151155170178204301[[#This Row],[PEG]],Table1016[#All],2,FALSE)</f>
        <v>#N/A</v>
      </c>
      <c r="D42" s="111"/>
      <c r="E42" s="122" t="e">
        <f>VLOOKUP(Table257519913140106110151155170178204301[[#This Row],[PEG]],Table1016[#All],3,FALSE)</f>
        <v>#N/A</v>
      </c>
    </row>
    <row r="43" spans="1:5">
      <c r="A43" s="114">
        <v>36</v>
      </c>
      <c r="B43" s="110" t="s">
        <v>115</v>
      </c>
      <c r="C43" s="105" t="e">
        <f>VLOOKUP(Table257519913140106110151155170178204301[[#This Row],[PEG]],Table1016[#All],2,FALSE)</f>
        <v>#N/A</v>
      </c>
      <c r="D43" s="111"/>
      <c r="E43" s="122" t="e">
        <f>VLOOKUP(Table257519913140106110151155170178204301[[#This Row],[PEG]],Table1016[#All],3,FALSE)</f>
        <v>#N/A</v>
      </c>
    </row>
    <row r="44" spans="1:5">
      <c r="A44" s="114">
        <v>37</v>
      </c>
      <c r="B44" s="110" t="s">
        <v>13</v>
      </c>
      <c r="C44" s="17" t="s">
        <v>13</v>
      </c>
      <c r="D44" s="111"/>
      <c r="E44" s="31"/>
    </row>
  </sheetData>
  <mergeCells count="1">
    <mergeCell ref="A1:B1"/>
  </mergeCells>
  <conditionalFormatting sqref="B8:B18">
    <cfRule type="containsText" dxfId="279" priority="1" operator="containsText" text="Hear">
      <formula>NOT(ISERROR(SEARCH("Hear",B8)))</formula>
    </cfRule>
  </conditionalFormatting>
  <conditionalFormatting sqref="B30">
    <cfRule type="containsText" dxfId="278" priority="4" operator="containsText" text="Hear">
      <formula>NOT(ISERROR(SEARCH("Hear",B30)))</formula>
    </cfRule>
  </conditionalFormatting>
  <conditionalFormatting sqref="B43:B44">
    <cfRule type="containsText" dxfId="277" priority="8" operator="containsText" text="Hear">
      <formula>NOT(ISERROR(SEARCH("Hear",B43)))</formula>
    </cfRule>
  </conditionalFormatting>
  <conditionalFormatting sqref="E44">
    <cfRule type="containsText" dxfId="276" priority="6" operator="containsText" text="WEB SERVICE">
      <formula>NOT(ISERROR(SEARCH("WEB SERVICE",E44)))</formula>
    </cfRule>
    <cfRule type="containsText" dxfId="275" priority="7" operator="containsText" text="DB">
      <formula>NOT(ISERROR(SEARCH("DB",E44)))</formula>
    </cfRule>
  </conditionalFormatting>
  <conditionalFormatting sqref="C44">
    <cfRule type="expression" dxfId="274" priority="9">
      <formula>$B44="Dial"</formula>
    </cfRule>
  </conditionalFormatting>
  <conditionalFormatting sqref="C44">
    <cfRule type="expression" dxfId="273" priority="3">
      <formula>$B44="Speak"</formula>
    </cfRule>
  </conditionalFormatting>
  <conditionalFormatting sqref="B19:B29 B31:B35 B42">
    <cfRule type="containsText" dxfId="272" priority="5" operator="containsText" text="Hear">
      <formula>NOT(ISERROR(SEARCH("Hear",B19)))</formula>
    </cfRule>
  </conditionalFormatting>
  <hyperlinks>
    <hyperlink ref="A1" location="'Test Case Overview'!A1" display="Return to Test Case Overview" xr:uid="{00000000-0004-0000-C4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CAF1A1D6-8664-41ED-A36A-2357B9751D3C}">
            <xm:f>'TC1'!$B8="HANGUP"</xm:f>
            <x14:dxf>
              <font>
                <b/>
                <i val="0"/>
              </font>
            </x14:dxf>
          </x14:cfRule>
          <xm:sqref>C8</xm:sqref>
        </x14:conditionalFormatting>
        <x14:conditionalFormatting xmlns:xm="http://schemas.microsoft.com/office/excel/2006/main">
          <x14:cfRule type="expression" priority="3433" id="{CAF1A1D6-8664-41ED-A36A-2357B9751D3C}">
            <xm:f>'TC1'!$B14="HANGUP"</xm:f>
            <x14:dxf>
              <font>
                <b/>
                <i val="0"/>
              </font>
            </x14:dxf>
          </x14:cfRule>
          <xm:sqref>C34:C43</xm:sqref>
        </x14:conditionalFormatting>
        <x14:conditionalFormatting xmlns:xm="http://schemas.microsoft.com/office/excel/2006/main">
          <x14:cfRule type="expression" priority="3434" id="{CAF1A1D6-8664-41ED-A36A-2357B9751D3C}">
            <xm:f>'TC1'!#REF!="HANGUP"</xm:f>
            <x14:dxf>
              <font>
                <b/>
                <i val="0"/>
              </font>
            </x14:dxf>
          </x14:cfRule>
          <xm:sqref>C13:C33</xm:sqref>
        </x14:conditionalFormatting>
        <x14:conditionalFormatting xmlns:xm="http://schemas.microsoft.com/office/excel/2006/main">
          <x14:cfRule type="expression" priority="4643" id="{CAF1A1D6-8664-41ED-A36A-2357B9751D3C}">
            <xm:f>'TC1'!$B10="HANGUP"</xm:f>
            <x14:dxf>
              <font>
                <b/>
                <i val="0"/>
              </font>
            </x14:dxf>
          </x14:cfRule>
          <xm:sqref>C9:C12</xm:sqref>
        </x14:conditionalFormatting>
      </x14:conditionalFormattings>
    </ext>
  </extLst>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500-000000000000}">
  <sheetPr codeName="Sheet199"/>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TC197</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VLOOKUP(Table257519913140106110151155170178204303[[#This Row],[PEG]],Table1016[#All],2,FALSE)</f>
        <v>#N/A</v>
      </c>
      <c r="D9" s="125"/>
      <c r="E9" s="122" t="e">
        <f>VLOOKUP(Table257519913140106110151155170178204303[[#This Row],[PEG]],Table1016[#All],3,FALSE)</f>
        <v>#N/A</v>
      </c>
    </row>
    <row r="10" spans="1:5">
      <c r="A10" s="114">
        <v>3</v>
      </c>
      <c r="B10" s="110" t="s">
        <v>115</v>
      </c>
      <c r="C10" s="105" t="e">
        <f>VLOOKUP(Table257519913140106110151155170178204303[[#This Row],[PEG]],Table1016[#All],2,FALSE)</f>
        <v>#N/A</v>
      </c>
      <c r="D10" s="125"/>
      <c r="E10" s="122" t="e">
        <f>VLOOKUP(Table257519913140106110151155170178204303[[#This Row],[PEG]],Table1016[#All],3,FALSE)</f>
        <v>#N/A</v>
      </c>
    </row>
    <row r="11" spans="1:5">
      <c r="A11" s="114">
        <v>4</v>
      </c>
      <c r="B11" s="110" t="s">
        <v>115</v>
      </c>
      <c r="C11" s="105" t="e">
        <f>VLOOKUP(Table257519913140106110151155170178204303[[#This Row],[PEG]],Table1016[#All],2,FALSE)</f>
        <v>#N/A</v>
      </c>
      <c r="D11" s="125"/>
      <c r="E11" s="122" t="e">
        <f>VLOOKUP(Table257519913140106110151155170178204303[[#This Row],[PEG]],Table1016[#All],3,FALSE)</f>
        <v>#N/A</v>
      </c>
    </row>
    <row r="12" spans="1:5">
      <c r="A12" s="114">
        <v>5</v>
      </c>
      <c r="B12" s="110" t="s">
        <v>114</v>
      </c>
      <c r="C12" s="105" t="e">
        <f>VLOOKUP(Table257519913140106110151155170178204303[[#This Row],[PEG]],Table1016[#All],2,FALSE)</f>
        <v>#N/A</v>
      </c>
      <c r="D12" s="125"/>
      <c r="E12" s="122" t="e">
        <f>VLOOKUP(Table257519913140106110151155170178204303[[#This Row],[PEG]],Table1016[#All],3,FALSE)</f>
        <v>#N/A</v>
      </c>
    </row>
    <row r="13" spans="1:5">
      <c r="A13" s="114">
        <v>6</v>
      </c>
      <c r="B13" s="110" t="s">
        <v>115</v>
      </c>
      <c r="C13" s="105" t="e">
        <f>VLOOKUP(Table257519913140106110151155170178204303[[#This Row],[PEG]],Table1016[#All],2,FALSE)</f>
        <v>#N/A</v>
      </c>
      <c r="D13" s="125"/>
      <c r="E13" s="122" t="e">
        <f>VLOOKUP(Table257519913140106110151155170178204303[[#This Row],[PEG]],Table1016[#All],3,FALSE)</f>
        <v>#N/A</v>
      </c>
    </row>
    <row r="14" spans="1:5">
      <c r="A14" s="114">
        <v>7</v>
      </c>
      <c r="B14" s="110" t="s">
        <v>114</v>
      </c>
      <c r="C14" s="105" t="e">
        <f>VLOOKUP(Table257519913140106110151155170178204303[[#This Row],[PEG]],Table1016[#All],2,FALSE)</f>
        <v>#N/A</v>
      </c>
      <c r="D14" s="125"/>
      <c r="E14" s="122" t="e">
        <f>VLOOKUP(Table257519913140106110151155170178204303[[#This Row],[PEG]],Table1016[#All],3,FALSE)</f>
        <v>#N/A</v>
      </c>
    </row>
    <row r="15" spans="1:5">
      <c r="A15" s="114">
        <v>8</v>
      </c>
      <c r="B15" s="110" t="s">
        <v>115</v>
      </c>
      <c r="C15" s="105" t="e">
        <f>VLOOKUP(Table257519913140106110151155170178204303[[#This Row],[PEG]],Table1016[#All],2,FALSE)</f>
        <v>#N/A</v>
      </c>
      <c r="D15" s="112"/>
      <c r="E15" s="122" t="e">
        <f>VLOOKUP(Table257519913140106110151155170178204303[[#This Row],[PEG]],Table1016[#All],3,FALSE)</f>
        <v>#N/A</v>
      </c>
    </row>
    <row r="16" spans="1:5">
      <c r="A16" s="114">
        <v>9</v>
      </c>
      <c r="B16" s="110" t="s">
        <v>12</v>
      </c>
      <c r="C16" s="105" t="e">
        <f>VLOOKUP(Table257519913140106110151155170178204303[[#This Row],[PEG]],Table1016[#All],2,FALSE)</f>
        <v>#N/A</v>
      </c>
      <c r="D16" s="112"/>
      <c r="E16" s="122" t="e">
        <f>VLOOKUP(Table257519913140106110151155170178204303[[#This Row],[PEG]],Table1016[#All],3,FALSE)</f>
        <v>#N/A</v>
      </c>
    </row>
    <row r="17" spans="1:5">
      <c r="A17" s="114">
        <v>10</v>
      </c>
      <c r="B17" s="110" t="s">
        <v>12</v>
      </c>
      <c r="C17" s="105" t="e">
        <f>VLOOKUP(Table257519913140106110151155170178204303[[#This Row],[PEG]],Table1016[#All],2,FALSE)</f>
        <v>#N/A</v>
      </c>
      <c r="D17" s="113"/>
      <c r="E17" s="122" t="e">
        <f>VLOOKUP(Table257519913140106110151155170178204303[[#This Row],[PEG]],Table1016[#All],3,FALSE)</f>
        <v>#N/A</v>
      </c>
    </row>
    <row r="18" spans="1:5">
      <c r="A18" s="114">
        <v>11</v>
      </c>
      <c r="B18" s="110" t="s">
        <v>115</v>
      </c>
      <c r="C18" s="105" t="e">
        <f>VLOOKUP(Table257519913140106110151155170178204303[[#This Row],[PEG]],Table1016[#All],2,FALSE)</f>
        <v>#N/A</v>
      </c>
      <c r="D18" s="113"/>
      <c r="E18" s="122" t="e">
        <f>VLOOKUP(Table257519913140106110151155170178204303[[#This Row],[PEG]],Table1016[#All],3,FALSE)</f>
        <v>#N/A</v>
      </c>
    </row>
    <row r="19" spans="1:5">
      <c r="A19" s="114">
        <v>12</v>
      </c>
      <c r="B19" s="110" t="s">
        <v>115</v>
      </c>
      <c r="C19" s="105" t="e">
        <f>VLOOKUP(Table257519913140106110151155170178204303[[#This Row],[PEG]],Table1016[#All],2,FALSE)</f>
        <v>#N/A</v>
      </c>
      <c r="D19" s="113"/>
      <c r="E19" s="122" t="e">
        <f>VLOOKUP(Table257519913140106110151155170178204303[[#This Row],[PEG]],Table1016[#All],3,FALSE)</f>
        <v>#N/A</v>
      </c>
    </row>
    <row r="20" spans="1:5">
      <c r="A20" s="114">
        <v>13</v>
      </c>
      <c r="B20" s="110" t="s">
        <v>114</v>
      </c>
      <c r="C20" s="105" t="e">
        <f>VLOOKUP(Table257519913140106110151155170178204303[[#This Row],[PEG]],Table1016[#All],2,FALSE)</f>
        <v>#N/A</v>
      </c>
      <c r="D20" s="113"/>
      <c r="E20" s="122" t="e">
        <f>VLOOKUP(Table257519913140106110151155170178204303[[#This Row],[PEG]],Table1016[#All],3,FALSE)</f>
        <v>#N/A</v>
      </c>
    </row>
    <row r="21" spans="1:5">
      <c r="A21" s="114">
        <v>14</v>
      </c>
      <c r="B21" s="110" t="s">
        <v>12</v>
      </c>
      <c r="C21" s="105" t="e">
        <f>VLOOKUP(Table257519913140106110151155170178204303[[#This Row],[PEG]],Table1016[#All],2,FALSE)</f>
        <v>#N/A</v>
      </c>
      <c r="D21" s="113"/>
      <c r="E21" s="122" t="e">
        <f>VLOOKUP(Table257519913140106110151155170178204303[[#This Row],[PEG]],Table1016[#All],3,FALSE)</f>
        <v>#N/A</v>
      </c>
    </row>
    <row r="22" spans="1:5">
      <c r="A22" s="114">
        <v>15</v>
      </c>
      <c r="B22" s="110" t="s">
        <v>12</v>
      </c>
      <c r="C22" s="105" t="e">
        <f>VLOOKUP(Table257519913140106110151155170178204303[[#This Row],[PEG]],Table1016[#All],2,FALSE)</f>
        <v>#N/A</v>
      </c>
      <c r="D22" s="113"/>
      <c r="E22" s="122" t="e">
        <f>VLOOKUP(Table257519913140106110151155170178204303[[#This Row],[PEG]],Table1016[#All],3,FALSE)</f>
        <v>#N/A</v>
      </c>
    </row>
    <row r="23" spans="1:5">
      <c r="A23" s="114">
        <v>16</v>
      </c>
      <c r="B23" s="110" t="s">
        <v>115</v>
      </c>
      <c r="C23" s="105" t="e">
        <f>VLOOKUP(Table257519913140106110151155170178204303[[#This Row],[PEG]],Table1016[#All],2,FALSE)</f>
        <v>#N/A</v>
      </c>
      <c r="D23" s="113"/>
      <c r="E23" s="122" t="e">
        <f>VLOOKUP(Table257519913140106110151155170178204303[[#This Row],[PEG]],Table1016[#All],3,FALSE)</f>
        <v>#N/A</v>
      </c>
    </row>
    <row r="24" spans="1:5">
      <c r="A24" s="114">
        <v>17</v>
      </c>
      <c r="B24" s="110" t="s">
        <v>114</v>
      </c>
      <c r="C24" s="105" t="e">
        <f>VLOOKUP(Table257519913140106110151155170178204303[[#This Row],[PEG]],Table1016[#All],2,FALSE)</f>
        <v>#N/A</v>
      </c>
      <c r="D24" s="113"/>
      <c r="E24" s="122" t="e">
        <f>VLOOKUP(Table257519913140106110151155170178204303[[#This Row],[PEG]],Table1016[#All],3,FALSE)</f>
        <v>#N/A</v>
      </c>
    </row>
    <row r="25" spans="1:5">
      <c r="A25" s="114">
        <v>18</v>
      </c>
      <c r="B25" s="110" t="s">
        <v>12</v>
      </c>
      <c r="C25" s="105" t="e">
        <f>VLOOKUP(Table257519913140106110151155170178204303[[#This Row],[PEG]],Table1016[#All],2,FALSE)</f>
        <v>#N/A</v>
      </c>
      <c r="D25" s="113"/>
      <c r="E25" s="122" t="e">
        <f>VLOOKUP(Table257519913140106110151155170178204303[[#This Row],[PEG]],Table1016[#All],3,FALSE)</f>
        <v>#N/A</v>
      </c>
    </row>
    <row r="26" spans="1:5">
      <c r="A26" s="114">
        <v>19</v>
      </c>
      <c r="B26" s="110" t="s">
        <v>12</v>
      </c>
      <c r="C26" s="105" t="e">
        <f>VLOOKUP(Table257519913140106110151155170178204303[[#This Row],[PEG]],Table1016[#All],2,FALSE)</f>
        <v>#N/A</v>
      </c>
      <c r="D26" s="113"/>
      <c r="E26" s="122" t="e">
        <f>VLOOKUP(Table257519913140106110151155170178204303[[#This Row],[PEG]],Table1016[#All],3,FALSE)</f>
        <v>#N/A</v>
      </c>
    </row>
    <row r="27" spans="1:5">
      <c r="A27" s="114">
        <v>20</v>
      </c>
      <c r="B27" s="110" t="s">
        <v>115</v>
      </c>
      <c r="C27" s="105" t="e">
        <f>VLOOKUP(Table257519913140106110151155170178204303[[#This Row],[PEG]],Table1016[#All],2,FALSE)</f>
        <v>#N/A</v>
      </c>
      <c r="D27" s="113"/>
      <c r="E27" s="122" t="e">
        <f>VLOOKUP(Table257519913140106110151155170178204303[[#This Row],[PEG]],Table1016[#All],3,FALSE)</f>
        <v>#N/A</v>
      </c>
    </row>
    <row r="28" spans="1:5">
      <c r="A28" s="114">
        <v>21</v>
      </c>
      <c r="B28" s="110" t="s">
        <v>114</v>
      </c>
      <c r="C28" s="105" t="e">
        <f>VLOOKUP(Table257519913140106110151155170178204303[[#This Row],[PEG]],Table1016[#All],2,FALSE)</f>
        <v>#N/A</v>
      </c>
      <c r="D28" s="113"/>
      <c r="E28" s="122" t="e">
        <f>VLOOKUP(Table257519913140106110151155170178204303[[#This Row],[PEG]],Table1016[#All],3,FALSE)</f>
        <v>#N/A</v>
      </c>
    </row>
    <row r="29" spans="1:5">
      <c r="A29" s="114">
        <v>22</v>
      </c>
      <c r="B29" s="110" t="s">
        <v>12</v>
      </c>
      <c r="C29" s="105" t="e">
        <f>VLOOKUP(Table257519913140106110151155170178204303[[#This Row],[PEG]],Table1016[#All],2,FALSE)</f>
        <v>#N/A</v>
      </c>
      <c r="D29" s="113"/>
      <c r="E29" s="122" t="e">
        <f>VLOOKUP(Table257519913140106110151155170178204303[[#This Row],[PEG]],Table1016[#All],3,FALSE)</f>
        <v>#N/A</v>
      </c>
    </row>
    <row r="30" spans="1:5">
      <c r="A30" s="114">
        <v>23</v>
      </c>
      <c r="B30" s="110" t="s">
        <v>12</v>
      </c>
      <c r="C30" s="105" t="e">
        <f>VLOOKUP(Table257519913140106110151155170178204303[[#This Row],[PEG]],Table1016[#All],2,FALSE)</f>
        <v>#N/A</v>
      </c>
      <c r="D30" s="113"/>
      <c r="E30" s="122" t="e">
        <f>VLOOKUP(Table257519913140106110151155170178204303[[#This Row],[PEG]],Table1016[#All],3,FALSE)</f>
        <v>#N/A</v>
      </c>
    </row>
    <row r="31" spans="1:5">
      <c r="A31" s="114">
        <v>24</v>
      </c>
      <c r="B31" s="110" t="s">
        <v>115</v>
      </c>
      <c r="C31" s="105" t="e">
        <f>VLOOKUP(Table257519913140106110151155170178204303[[#This Row],[PEG]],Table1016[#All],2,FALSE)</f>
        <v>#N/A</v>
      </c>
      <c r="D31" s="113"/>
      <c r="E31" s="122" t="e">
        <f>VLOOKUP(Table257519913140106110151155170178204303[[#This Row],[PEG]],Table1016[#All],3,FALSE)</f>
        <v>#N/A</v>
      </c>
    </row>
    <row r="32" spans="1:5">
      <c r="A32" s="114">
        <v>25</v>
      </c>
      <c r="B32" s="110" t="s">
        <v>115</v>
      </c>
      <c r="C32" s="105" t="e">
        <f>VLOOKUP(Table257519913140106110151155170178204303[[#This Row],[PEG]],Table1016[#All],2,FALSE)</f>
        <v>#N/A</v>
      </c>
      <c r="D32" s="113"/>
      <c r="E32" s="122" t="e">
        <f>VLOOKUP(Table257519913140106110151155170178204303[[#This Row],[PEG]],Table1016[#All],3,FALSE)</f>
        <v>#N/A</v>
      </c>
    </row>
    <row r="33" spans="1:5">
      <c r="A33" s="114">
        <v>26</v>
      </c>
      <c r="B33" s="110" t="s">
        <v>124</v>
      </c>
      <c r="C33" s="105" t="e">
        <f>VLOOKUP(Table257519913140106110151155170178204303[[#This Row],[PEG]],Table1016[#All],2,FALSE)</f>
        <v>#N/A</v>
      </c>
      <c r="D33" s="113"/>
      <c r="E33" s="122" t="e">
        <f>VLOOKUP(Table257519913140106110151155170178204303[[#This Row],[PEG]],Table1016[#All],3,FALSE)</f>
        <v>#N/A</v>
      </c>
    </row>
    <row r="34" spans="1:5">
      <c r="A34" s="114">
        <v>27</v>
      </c>
      <c r="B34" s="110" t="s">
        <v>115</v>
      </c>
      <c r="C34" s="105" t="e">
        <f>VLOOKUP(Table257519913140106110151155170178204303[[#This Row],[PEG]],Table1016[#All],2,FALSE)</f>
        <v>#N/A</v>
      </c>
      <c r="D34" s="113"/>
      <c r="E34" s="122" t="e">
        <f>VLOOKUP(Table257519913140106110151155170178204303[[#This Row],[PEG]],Table1016[#All],3,FALSE)</f>
        <v>#N/A</v>
      </c>
    </row>
    <row r="35" spans="1:5">
      <c r="A35" s="114">
        <v>28</v>
      </c>
      <c r="B35" s="110" t="s">
        <v>124</v>
      </c>
      <c r="C35" s="105" t="e">
        <f>VLOOKUP(Table257519913140106110151155170178204303[[#This Row],[PEG]],Table1016[#All],2,FALSE)</f>
        <v>#N/A</v>
      </c>
      <c r="D35" s="113"/>
      <c r="E35" s="122" t="e">
        <f>VLOOKUP(Table257519913140106110151155170178204303[[#This Row],[PEG]],Table1016[#All],3,FALSE)</f>
        <v>#N/A</v>
      </c>
    </row>
    <row r="36" spans="1:5">
      <c r="A36" s="114">
        <v>29</v>
      </c>
      <c r="B36" s="110" t="s">
        <v>115</v>
      </c>
      <c r="C36" s="105" t="e">
        <f>VLOOKUP(Table257519913140106110151155170178204303[[#This Row],[PEG]],Table1016[#All],2,FALSE)</f>
        <v>#N/A</v>
      </c>
      <c r="D36" s="113"/>
      <c r="E36" s="122" t="e">
        <f>VLOOKUP(Table257519913140106110151155170178204303[[#This Row],[PEG]],Table1016[#All],3,FALSE)</f>
        <v>#N/A</v>
      </c>
    </row>
    <row r="37" spans="1:5">
      <c r="A37" s="114">
        <v>30</v>
      </c>
      <c r="B37" s="110" t="s">
        <v>12</v>
      </c>
      <c r="C37" s="105" t="e">
        <f>VLOOKUP(Table257519913140106110151155170178204303[[#This Row],[PEG]],Table1016[#All],2,FALSE)</f>
        <v>#N/A</v>
      </c>
      <c r="D37" s="113"/>
      <c r="E37" s="122" t="e">
        <f>VLOOKUP(Table257519913140106110151155170178204303[[#This Row],[PEG]],Table1016[#All],3,FALSE)</f>
        <v>#N/A</v>
      </c>
    </row>
    <row r="38" spans="1:5">
      <c r="A38" s="114">
        <v>31</v>
      </c>
      <c r="B38" s="110" t="s">
        <v>12</v>
      </c>
      <c r="C38" s="105" t="e">
        <f>VLOOKUP(Table257519913140106110151155170178204303[[#This Row],[PEG]],Table1016[#All],2,FALSE)</f>
        <v>#N/A</v>
      </c>
      <c r="D38" s="113"/>
      <c r="E38" s="122" t="e">
        <f>VLOOKUP(Table257519913140106110151155170178204303[[#This Row],[PEG]],Table1016[#All],3,FALSE)</f>
        <v>#N/A</v>
      </c>
    </row>
    <row r="39" spans="1:5">
      <c r="A39" s="114">
        <v>32</v>
      </c>
      <c r="B39" s="110" t="s">
        <v>12</v>
      </c>
      <c r="C39" s="105" t="e">
        <f>VLOOKUP(Table257519913140106110151155170178204303[[#This Row],[PEG]],Table1016[#All],2,FALSE)</f>
        <v>#N/A</v>
      </c>
      <c r="D39" s="113"/>
      <c r="E39" s="122" t="e">
        <f>VLOOKUP(Table257519913140106110151155170178204303[[#This Row],[PEG]],Table1016[#All],3,FALSE)</f>
        <v>#N/A</v>
      </c>
    </row>
    <row r="40" spans="1:5">
      <c r="A40" s="114">
        <v>33</v>
      </c>
      <c r="B40" s="110" t="s">
        <v>12</v>
      </c>
      <c r="C40" s="105" t="e">
        <f>VLOOKUP(Table257519913140106110151155170178204303[[#This Row],[PEG]],Table1016[#All],2,FALSE)</f>
        <v>#N/A</v>
      </c>
      <c r="D40" s="113"/>
      <c r="E40" s="122" t="e">
        <f>VLOOKUP(Table257519913140106110151155170178204303[[#This Row],[PEG]],Table1016[#All],3,FALSE)</f>
        <v>#N/A</v>
      </c>
    </row>
    <row r="41" spans="1:5">
      <c r="A41" s="114">
        <v>34</v>
      </c>
      <c r="B41" s="110" t="s">
        <v>115</v>
      </c>
      <c r="C41" s="105" t="e">
        <f>VLOOKUP(Table257519913140106110151155170178204303[[#This Row],[PEG]],Table1016[#All],2,FALSE)</f>
        <v>#N/A</v>
      </c>
      <c r="D41" s="113"/>
      <c r="E41" s="122" t="e">
        <f>VLOOKUP(Table257519913140106110151155170178204303[[#This Row],[PEG]],Table1016[#All],3,FALSE)</f>
        <v>#N/A</v>
      </c>
    </row>
    <row r="42" spans="1:5">
      <c r="A42" s="114">
        <v>35</v>
      </c>
      <c r="B42" s="110" t="s">
        <v>12</v>
      </c>
      <c r="C42" s="105" t="e">
        <f>VLOOKUP(Table257519913140106110151155170178204303[[#This Row],[PEG]],Table1016[#All],2,FALSE)</f>
        <v>#N/A</v>
      </c>
      <c r="D42" s="111"/>
      <c r="E42" s="122" t="e">
        <f>VLOOKUP(Table257519913140106110151155170178204303[[#This Row],[PEG]],Table1016[#All],3,FALSE)</f>
        <v>#N/A</v>
      </c>
    </row>
    <row r="43" spans="1:5">
      <c r="A43" s="114">
        <v>36</v>
      </c>
      <c r="B43" s="110" t="s">
        <v>115</v>
      </c>
      <c r="C43" s="105" t="e">
        <f>VLOOKUP(Table257519913140106110151155170178204303[[#This Row],[PEG]],Table1016[#All],2,FALSE)</f>
        <v>#N/A</v>
      </c>
      <c r="D43" s="111"/>
      <c r="E43" s="122" t="e">
        <f>VLOOKUP(Table257519913140106110151155170178204303[[#This Row],[PEG]],Table1016[#All],3,FALSE)</f>
        <v>#N/A</v>
      </c>
    </row>
    <row r="44" spans="1:5">
      <c r="A44" s="114">
        <v>37</v>
      </c>
      <c r="B44" s="110" t="s">
        <v>13</v>
      </c>
      <c r="C44" s="17" t="s">
        <v>13</v>
      </c>
      <c r="D44" s="111"/>
      <c r="E44" s="31"/>
    </row>
  </sheetData>
  <mergeCells count="1">
    <mergeCell ref="A1:B1"/>
  </mergeCells>
  <conditionalFormatting sqref="B8:B18">
    <cfRule type="containsText" dxfId="258" priority="1" operator="containsText" text="Hear">
      <formula>NOT(ISERROR(SEARCH("Hear",B8)))</formula>
    </cfRule>
  </conditionalFormatting>
  <conditionalFormatting sqref="B30">
    <cfRule type="containsText" dxfId="257" priority="4" operator="containsText" text="Hear">
      <formula>NOT(ISERROR(SEARCH("Hear",B30)))</formula>
    </cfRule>
  </conditionalFormatting>
  <conditionalFormatting sqref="B43:B44">
    <cfRule type="containsText" dxfId="256" priority="8" operator="containsText" text="Hear">
      <formula>NOT(ISERROR(SEARCH("Hear",B43)))</formula>
    </cfRule>
  </conditionalFormatting>
  <conditionalFormatting sqref="E44">
    <cfRule type="containsText" dxfId="255" priority="6" operator="containsText" text="WEB SERVICE">
      <formula>NOT(ISERROR(SEARCH("WEB SERVICE",E44)))</formula>
    </cfRule>
    <cfRule type="containsText" dxfId="254" priority="7" operator="containsText" text="DB">
      <formula>NOT(ISERROR(SEARCH("DB",E44)))</formula>
    </cfRule>
  </conditionalFormatting>
  <conditionalFormatting sqref="C44">
    <cfRule type="expression" dxfId="253" priority="9">
      <formula>$B44="Dial"</formula>
    </cfRule>
  </conditionalFormatting>
  <conditionalFormatting sqref="C44">
    <cfRule type="expression" dxfId="252" priority="3">
      <formula>$B44="Speak"</formula>
    </cfRule>
  </conditionalFormatting>
  <conditionalFormatting sqref="B19:B29 B31:B35 B42">
    <cfRule type="containsText" dxfId="251" priority="5" operator="containsText" text="Hear">
      <formula>NOT(ISERROR(SEARCH("Hear",B19)))</formula>
    </cfRule>
  </conditionalFormatting>
  <hyperlinks>
    <hyperlink ref="A1" location="'Test Case Overview'!A1" display="Return to Test Case Overview" xr:uid="{00000000-0004-0000-C5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 id="{54FF2FB0-375A-4A5F-A885-E71860626DA5}">
            <xm:f>'TC1'!$B8="HANGUP"</xm:f>
            <x14:dxf>
              <font>
                <b/>
                <i val="0"/>
              </font>
            </x14:dxf>
          </x14:cfRule>
          <xm:sqref>C8</xm:sqref>
        </x14:conditionalFormatting>
        <x14:conditionalFormatting xmlns:xm="http://schemas.microsoft.com/office/excel/2006/main">
          <x14:cfRule type="expression" priority="3437" id="{54FF2FB0-375A-4A5F-A885-E71860626DA5}">
            <xm:f>'TC1'!$B14="HANGUP"</xm:f>
            <x14:dxf>
              <font>
                <b/>
                <i val="0"/>
              </font>
            </x14:dxf>
          </x14:cfRule>
          <xm:sqref>C34:C43</xm:sqref>
        </x14:conditionalFormatting>
        <x14:conditionalFormatting xmlns:xm="http://schemas.microsoft.com/office/excel/2006/main">
          <x14:cfRule type="expression" priority="3438" id="{54FF2FB0-375A-4A5F-A885-E71860626DA5}">
            <xm:f>'TC1'!#REF!="HANGUP"</xm:f>
            <x14:dxf>
              <font>
                <b/>
                <i val="0"/>
              </font>
            </x14:dxf>
          </x14:cfRule>
          <xm:sqref>C13:C33</xm:sqref>
        </x14:conditionalFormatting>
        <x14:conditionalFormatting xmlns:xm="http://schemas.microsoft.com/office/excel/2006/main">
          <x14:cfRule type="expression" priority="4645" id="{54FF2FB0-375A-4A5F-A885-E71860626DA5}">
            <xm:f>'TC1'!$B10="HANGUP"</xm:f>
            <x14:dxf>
              <font>
                <b/>
                <i val="0"/>
              </font>
            </x14:dxf>
          </x14:cfRule>
          <xm:sqref>C9:C12</xm:sqref>
        </x14:conditionalFormatting>
      </x14:conditionalFormattings>
    </ext>
  </extLst>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600-000000000000}">
  <sheetPr codeName="Sheet200"/>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TC198</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VLOOKUP(Table257519913140106110151155170178204303306[[#This Row],[PEG]],Table1016[#All],2,FALSE)</f>
        <v>#N/A</v>
      </c>
      <c r="D9" s="125"/>
      <c r="E9" s="122" t="e">
        <f>VLOOKUP(Table257519913140106110151155170178204303306[[#This Row],[PEG]],Table1016[#All],3,FALSE)</f>
        <v>#N/A</v>
      </c>
    </row>
    <row r="10" spans="1:5">
      <c r="A10" s="114">
        <v>3</v>
      </c>
      <c r="B10" s="110" t="s">
        <v>115</v>
      </c>
      <c r="C10" s="105" t="e">
        <f>VLOOKUP(Table257519913140106110151155170178204303306[[#This Row],[PEG]],Table1016[#All],2,FALSE)</f>
        <v>#N/A</v>
      </c>
      <c r="D10" s="125"/>
      <c r="E10" s="122" t="e">
        <f>VLOOKUP(Table257519913140106110151155170178204303306[[#This Row],[PEG]],Table1016[#All],3,FALSE)</f>
        <v>#N/A</v>
      </c>
    </row>
    <row r="11" spans="1:5">
      <c r="A11" s="114">
        <v>4</v>
      </c>
      <c r="B11" s="110" t="s">
        <v>115</v>
      </c>
      <c r="C11" s="105" t="e">
        <f>VLOOKUP(Table257519913140106110151155170178204303306[[#This Row],[PEG]],Table1016[#All],2,FALSE)</f>
        <v>#N/A</v>
      </c>
      <c r="D11" s="125"/>
      <c r="E11" s="122" t="e">
        <f>VLOOKUP(Table257519913140106110151155170178204303306[[#This Row],[PEG]],Table1016[#All],3,FALSE)</f>
        <v>#N/A</v>
      </c>
    </row>
    <row r="12" spans="1:5">
      <c r="A12" s="114">
        <v>5</v>
      </c>
      <c r="B12" s="110" t="s">
        <v>114</v>
      </c>
      <c r="C12" s="105" t="e">
        <f>VLOOKUP(Table257519913140106110151155170178204303306[[#This Row],[PEG]],Table1016[#All],2,FALSE)</f>
        <v>#N/A</v>
      </c>
      <c r="D12" s="125"/>
      <c r="E12" s="122" t="e">
        <f>VLOOKUP(Table257519913140106110151155170178204303306[[#This Row],[PEG]],Table1016[#All],3,FALSE)</f>
        <v>#N/A</v>
      </c>
    </row>
    <row r="13" spans="1:5">
      <c r="A13" s="114">
        <v>6</v>
      </c>
      <c r="B13" s="110" t="s">
        <v>115</v>
      </c>
      <c r="C13" s="105" t="e">
        <f>VLOOKUP(Table257519913140106110151155170178204303306[[#This Row],[PEG]],Table1016[#All],2,FALSE)</f>
        <v>#N/A</v>
      </c>
      <c r="D13" s="125"/>
      <c r="E13" s="122" t="e">
        <f>VLOOKUP(Table257519913140106110151155170178204303306[[#This Row],[PEG]],Table1016[#All],3,FALSE)</f>
        <v>#N/A</v>
      </c>
    </row>
    <row r="14" spans="1:5">
      <c r="A14" s="114">
        <v>7</v>
      </c>
      <c r="B14" s="110" t="s">
        <v>114</v>
      </c>
      <c r="C14" s="105" t="e">
        <f>VLOOKUP(Table257519913140106110151155170178204303306[[#This Row],[PEG]],Table1016[#All],2,FALSE)</f>
        <v>#N/A</v>
      </c>
      <c r="D14" s="125"/>
      <c r="E14" s="122" t="e">
        <f>VLOOKUP(Table257519913140106110151155170178204303306[[#This Row],[PEG]],Table1016[#All],3,FALSE)</f>
        <v>#N/A</v>
      </c>
    </row>
    <row r="15" spans="1:5">
      <c r="A15" s="114">
        <v>8</v>
      </c>
      <c r="B15" s="110" t="s">
        <v>115</v>
      </c>
      <c r="C15" s="105" t="e">
        <f>VLOOKUP(Table257519913140106110151155170178204303306[[#This Row],[PEG]],Table1016[#All],2,FALSE)</f>
        <v>#N/A</v>
      </c>
      <c r="D15" s="112"/>
      <c r="E15" s="122" t="e">
        <f>VLOOKUP(Table257519913140106110151155170178204303306[[#This Row],[PEG]],Table1016[#All],3,FALSE)</f>
        <v>#N/A</v>
      </c>
    </row>
    <row r="16" spans="1:5">
      <c r="A16" s="114">
        <v>9</v>
      </c>
      <c r="B16" s="110" t="s">
        <v>12</v>
      </c>
      <c r="C16" s="105" t="e">
        <f>VLOOKUP(Table257519913140106110151155170178204303306[[#This Row],[PEG]],Table1016[#All],2,FALSE)</f>
        <v>#N/A</v>
      </c>
      <c r="D16" s="112"/>
      <c r="E16" s="122" t="e">
        <f>VLOOKUP(Table257519913140106110151155170178204303306[[#This Row],[PEG]],Table1016[#All],3,FALSE)</f>
        <v>#N/A</v>
      </c>
    </row>
    <row r="17" spans="1:5">
      <c r="A17" s="114">
        <v>10</v>
      </c>
      <c r="B17" s="110" t="s">
        <v>12</v>
      </c>
      <c r="C17" s="105" t="e">
        <f>VLOOKUP(Table257519913140106110151155170178204303306[[#This Row],[PEG]],Table1016[#All],2,FALSE)</f>
        <v>#N/A</v>
      </c>
      <c r="D17" s="113"/>
      <c r="E17" s="122" t="e">
        <f>VLOOKUP(Table257519913140106110151155170178204303306[[#This Row],[PEG]],Table1016[#All],3,FALSE)</f>
        <v>#N/A</v>
      </c>
    </row>
    <row r="18" spans="1:5">
      <c r="A18" s="114">
        <v>11</v>
      </c>
      <c r="B18" s="110" t="s">
        <v>115</v>
      </c>
      <c r="C18" s="105" t="e">
        <f>VLOOKUP(Table257519913140106110151155170178204303306[[#This Row],[PEG]],Table1016[#All],2,FALSE)</f>
        <v>#N/A</v>
      </c>
      <c r="D18" s="113"/>
      <c r="E18" s="122" t="e">
        <f>VLOOKUP(Table257519913140106110151155170178204303306[[#This Row],[PEG]],Table1016[#All],3,FALSE)</f>
        <v>#N/A</v>
      </c>
    </row>
    <row r="19" spans="1:5">
      <c r="A19" s="114">
        <v>12</v>
      </c>
      <c r="B19" s="110" t="s">
        <v>115</v>
      </c>
      <c r="C19" s="105" t="e">
        <f>VLOOKUP(Table257519913140106110151155170178204303306[[#This Row],[PEG]],Table1016[#All],2,FALSE)</f>
        <v>#N/A</v>
      </c>
      <c r="D19" s="113"/>
      <c r="E19" s="122" t="e">
        <f>VLOOKUP(Table257519913140106110151155170178204303306[[#This Row],[PEG]],Table1016[#All],3,FALSE)</f>
        <v>#N/A</v>
      </c>
    </row>
    <row r="20" spans="1:5">
      <c r="A20" s="114">
        <v>13</v>
      </c>
      <c r="B20" s="110" t="s">
        <v>114</v>
      </c>
      <c r="C20" s="105" t="e">
        <f>VLOOKUP(Table257519913140106110151155170178204303306[[#This Row],[PEG]],Table1016[#All],2,FALSE)</f>
        <v>#N/A</v>
      </c>
      <c r="D20" s="113"/>
      <c r="E20" s="122" t="e">
        <f>VLOOKUP(Table257519913140106110151155170178204303306[[#This Row],[PEG]],Table1016[#All],3,FALSE)</f>
        <v>#N/A</v>
      </c>
    </row>
    <row r="21" spans="1:5">
      <c r="A21" s="114">
        <v>14</v>
      </c>
      <c r="B21" s="110" t="s">
        <v>12</v>
      </c>
      <c r="C21" s="105" t="e">
        <f>VLOOKUP(Table257519913140106110151155170178204303306[[#This Row],[PEG]],Table1016[#All],2,FALSE)</f>
        <v>#N/A</v>
      </c>
      <c r="D21" s="113"/>
      <c r="E21" s="122" t="e">
        <f>VLOOKUP(Table257519913140106110151155170178204303306[[#This Row],[PEG]],Table1016[#All],3,FALSE)</f>
        <v>#N/A</v>
      </c>
    </row>
    <row r="22" spans="1:5">
      <c r="A22" s="114">
        <v>15</v>
      </c>
      <c r="B22" s="110" t="s">
        <v>12</v>
      </c>
      <c r="C22" s="105" t="e">
        <f>VLOOKUP(Table257519913140106110151155170178204303306[[#This Row],[PEG]],Table1016[#All],2,FALSE)</f>
        <v>#N/A</v>
      </c>
      <c r="D22" s="113"/>
      <c r="E22" s="122" t="e">
        <f>VLOOKUP(Table257519913140106110151155170178204303306[[#This Row],[PEG]],Table1016[#All],3,FALSE)</f>
        <v>#N/A</v>
      </c>
    </row>
    <row r="23" spans="1:5">
      <c r="A23" s="114">
        <v>16</v>
      </c>
      <c r="B23" s="110" t="s">
        <v>115</v>
      </c>
      <c r="C23" s="105" t="e">
        <f>VLOOKUP(Table257519913140106110151155170178204303306[[#This Row],[PEG]],Table1016[#All],2,FALSE)</f>
        <v>#N/A</v>
      </c>
      <c r="D23" s="113"/>
      <c r="E23" s="122" t="e">
        <f>VLOOKUP(Table257519913140106110151155170178204303306[[#This Row],[PEG]],Table1016[#All],3,FALSE)</f>
        <v>#N/A</v>
      </c>
    </row>
    <row r="24" spans="1:5">
      <c r="A24" s="114">
        <v>17</v>
      </c>
      <c r="B24" s="110" t="s">
        <v>114</v>
      </c>
      <c r="C24" s="105" t="e">
        <f>VLOOKUP(Table257519913140106110151155170178204303306[[#This Row],[PEG]],Table1016[#All],2,FALSE)</f>
        <v>#N/A</v>
      </c>
      <c r="D24" s="113"/>
      <c r="E24" s="122" t="e">
        <f>VLOOKUP(Table257519913140106110151155170178204303306[[#This Row],[PEG]],Table1016[#All],3,FALSE)</f>
        <v>#N/A</v>
      </c>
    </row>
    <row r="25" spans="1:5">
      <c r="A25" s="114">
        <v>18</v>
      </c>
      <c r="B25" s="110" t="s">
        <v>12</v>
      </c>
      <c r="C25" s="105" t="e">
        <f>VLOOKUP(Table257519913140106110151155170178204303306[[#This Row],[PEG]],Table1016[#All],2,FALSE)</f>
        <v>#N/A</v>
      </c>
      <c r="D25" s="113"/>
      <c r="E25" s="122" t="e">
        <f>VLOOKUP(Table257519913140106110151155170178204303306[[#This Row],[PEG]],Table1016[#All],3,FALSE)</f>
        <v>#N/A</v>
      </c>
    </row>
    <row r="26" spans="1:5">
      <c r="A26" s="114">
        <v>19</v>
      </c>
      <c r="B26" s="110" t="s">
        <v>12</v>
      </c>
      <c r="C26" s="105" t="e">
        <f>VLOOKUP(Table257519913140106110151155170178204303306[[#This Row],[PEG]],Table1016[#All],2,FALSE)</f>
        <v>#N/A</v>
      </c>
      <c r="D26" s="113"/>
      <c r="E26" s="122" t="e">
        <f>VLOOKUP(Table257519913140106110151155170178204303306[[#This Row],[PEG]],Table1016[#All],3,FALSE)</f>
        <v>#N/A</v>
      </c>
    </row>
    <row r="27" spans="1:5">
      <c r="A27" s="114">
        <v>20</v>
      </c>
      <c r="B27" s="110" t="s">
        <v>115</v>
      </c>
      <c r="C27" s="105" t="e">
        <f>VLOOKUP(Table257519913140106110151155170178204303306[[#This Row],[PEG]],Table1016[#All],2,FALSE)</f>
        <v>#N/A</v>
      </c>
      <c r="D27" s="113"/>
      <c r="E27" s="122" t="e">
        <f>VLOOKUP(Table257519913140106110151155170178204303306[[#This Row],[PEG]],Table1016[#All],3,FALSE)</f>
        <v>#N/A</v>
      </c>
    </row>
    <row r="28" spans="1:5">
      <c r="A28" s="114">
        <v>21</v>
      </c>
      <c r="B28" s="110" t="s">
        <v>114</v>
      </c>
      <c r="C28" s="105" t="e">
        <f>VLOOKUP(Table257519913140106110151155170178204303306[[#This Row],[PEG]],Table1016[#All],2,FALSE)</f>
        <v>#N/A</v>
      </c>
      <c r="D28" s="113"/>
      <c r="E28" s="122" t="e">
        <f>VLOOKUP(Table257519913140106110151155170178204303306[[#This Row],[PEG]],Table1016[#All],3,FALSE)</f>
        <v>#N/A</v>
      </c>
    </row>
    <row r="29" spans="1:5">
      <c r="A29" s="114">
        <v>22</v>
      </c>
      <c r="B29" s="110" t="s">
        <v>12</v>
      </c>
      <c r="C29" s="105" t="e">
        <f>VLOOKUP(Table257519913140106110151155170178204303306[[#This Row],[PEG]],Table1016[#All],2,FALSE)</f>
        <v>#N/A</v>
      </c>
      <c r="D29" s="113"/>
      <c r="E29" s="122" t="e">
        <f>VLOOKUP(Table257519913140106110151155170178204303306[[#This Row],[PEG]],Table1016[#All],3,FALSE)</f>
        <v>#N/A</v>
      </c>
    </row>
    <row r="30" spans="1:5">
      <c r="A30" s="114">
        <v>23</v>
      </c>
      <c r="B30" s="110" t="s">
        <v>12</v>
      </c>
      <c r="C30" s="105" t="e">
        <f>VLOOKUP(Table257519913140106110151155170178204303306[[#This Row],[PEG]],Table1016[#All],2,FALSE)</f>
        <v>#N/A</v>
      </c>
      <c r="D30" s="113"/>
      <c r="E30" s="122" t="e">
        <f>VLOOKUP(Table257519913140106110151155170178204303306[[#This Row],[PEG]],Table1016[#All],3,FALSE)</f>
        <v>#N/A</v>
      </c>
    </row>
    <row r="31" spans="1:5">
      <c r="A31" s="114">
        <v>24</v>
      </c>
      <c r="B31" s="110" t="s">
        <v>115</v>
      </c>
      <c r="C31" s="105" t="e">
        <f>VLOOKUP(Table257519913140106110151155170178204303306[[#This Row],[PEG]],Table1016[#All],2,FALSE)</f>
        <v>#N/A</v>
      </c>
      <c r="D31" s="113"/>
      <c r="E31" s="122" t="e">
        <f>VLOOKUP(Table257519913140106110151155170178204303306[[#This Row],[PEG]],Table1016[#All],3,FALSE)</f>
        <v>#N/A</v>
      </c>
    </row>
    <row r="32" spans="1:5">
      <c r="A32" s="114">
        <v>25</v>
      </c>
      <c r="B32" s="110" t="s">
        <v>115</v>
      </c>
      <c r="C32" s="105" t="e">
        <f>VLOOKUP(Table257519913140106110151155170178204303306[[#This Row],[PEG]],Table1016[#All],2,FALSE)</f>
        <v>#N/A</v>
      </c>
      <c r="D32" s="113"/>
      <c r="E32" s="122" t="e">
        <f>VLOOKUP(Table257519913140106110151155170178204303306[[#This Row],[PEG]],Table1016[#All],3,FALSE)</f>
        <v>#N/A</v>
      </c>
    </row>
    <row r="33" spans="1:5">
      <c r="A33" s="114">
        <v>26</v>
      </c>
      <c r="B33" s="110" t="s">
        <v>124</v>
      </c>
      <c r="C33" s="105" t="e">
        <f>VLOOKUP(Table257519913140106110151155170178204303306[[#This Row],[PEG]],Table1016[#All],2,FALSE)</f>
        <v>#N/A</v>
      </c>
      <c r="D33" s="113"/>
      <c r="E33" s="122" t="e">
        <f>VLOOKUP(Table257519913140106110151155170178204303306[[#This Row],[PEG]],Table1016[#All],3,FALSE)</f>
        <v>#N/A</v>
      </c>
    </row>
    <row r="34" spans="1:5">
      <c r="A34" s="114">
        <v>27</v>
      </c>
      <c r="B34" s="110" t="s">
        <v>115</v>
      </c>
      <c r="C34" s="105" t="e">
        <f>VLOOKUP(Table257519913140106110151155170178204303306[[#This Row],[PEG]],Table1016[#All],2,FALSE)</f>
        <v>#N/A</v>
      </c>
      <c r="D34" s="113"/>
      <c r="E34" s="122" t="e">
        <f>VLOOKUP(Table257519913140106110151155170178204303306[[#This Row],[PEG]],Table1016[#All],3,FALSE)</f>
        <v>#N/A</v>
      </c>
    </row>
    <row r="35" spans="1:5">
      <c r="A35" s="114">
        <v>28</v>
      </c>
      <c r="B35" s="110" t="s">
        <v>124</v>
      </c>
      <c r="C35" s="105" t="e">
        <f>VLOOKUP(Table257519913140106110151155170178204303306[[#This Row],[PEG]],Table1016[#All],2,FALSE)</f>
        <v>#N/A</v>
      </c>
      <c r="D35" s="113"/>
      <c r="E35" s="122" t="e">
        <f>VLOOKUP(Table257519913140106110151155170178204303306[[#This Row],[PEG]],Table1016[#All],3,FALSE)</f>
        <v>#N/A</v>
      </c>
    </row>
    <row r="36" spans="1:5">
      <c r="A36" s="114">
        <v>29</v>
      </c>
      <c r="B36" s="110" t="s">
        <v>115</v>
      </c>
      <c r="C36" s="105" t="e">
        <f>VLOOKUP(Table257519913140106110151155170178204303306[[#This Row],[PEG]],Table1016[#All],2,FALSE)</f>
        <v>#N/A</v>
      </c>
      <c r="D36" s="113"/>
      <c r="E36" s="122" t="e">
        <f>VLOOKUP(Table257519913140106110151155170178204303306[[#This Row],[PEG]],Table1016[#All],3,FALSE)</f>
        <v>#N/A</v>
      </c>
    </row>
    <row r="37" spans="1:5">
      <c r="A37" s="114">
        <v>30</v>
      </c>
      <c r="B37" s="110" t="s">
        <v>12</v>
      </c>
      <c r="C37" s="105" t="e">
        <f>VLOOKUP(Table257519913140106110151155170178204303306[[#This Row],[PEG]],Table1016[#All],2,FALSE)</f>
        <v>#N/A</v>
      </c>
      <c r="D37" s="113"/>
      <c r="E37" s="122" t="e">
        <f>VLOOKUP(Table257519913140106110151155170178204303306[[#This Row],[PEG]],Table1016[#All],3,FALSE)</f>
        <v>#N/A</v>
      </c>
    </row>
    <row r="38" spans="1:5">
      <c r="A38" s="114">
        <v>31</v>
      </c>
      <c r="B38" s="110" t="s">
        <v>12</v>
      </c>
      <c r="C38" s="105" t="e">
        <f>VLOOKUP(Table257519913140106110151155170178204303306[[#This Row],[PEG]],Table1016[#All],2,FALSE)</f>
        <v>#N/A</v>
      </c>
      <c r="D38" s="113"/>
      <c r="E38" s="122" t="e">
        <f>VLOOKUP(Table257519913140106110151155170178204303306[[#This Row],[PEG]],Table1016[#All],3,FALSE)</f>
        <v>#N/A</v>
      </c>
    </row>
    <row r="39" spans="1:5">
      <c r="A39" s="114">
        <v>32</v>
      </c>
      <c r="B39" s="110" t="s">
        <v>12</v>
      </c>
      <c r="C39" s="105" t="e">
        <f>VLOOKUP(Table257519913140106110151155170178204303306[[#This Row],[PEG]],Table1016[#All],2,FALSE)</f>
        <v>#N/A</v>
      </c>
      <c r="D39" s="113"/>
      <c r="E39" s="122" t="e">
        <f>VLOOKUP(Table257519913140106110151155170178204303306[[#This Row],[PEG]],Table1016[#All],3,FALSE)</f>
        <v>#N/A</v>
      </c>
    </row>
    <row r="40" spans="1:5">
      <c r="A40" s="114">
        <v>33</v>
      </c>
      <c r="B40" s="110" t="s">
        <v>12</v>
      </c>
      <c r="C40" s="105" t="e">
        <f>VLOOKUP(Table257519913140106110151155170178204303306[[#This Row],[PEG]],Table1016[#All],2,FALSE)</f>
        <v>#N/A</v>
      </c>
      <c r="D40" s="113"/>
      <c r="E40" s="122" t="e">
        <f>VLOOKUP(Table257519913140106110151155170178204303306[[#This Row],[PEG]],Table1016[#All],3,FALSE)</f>
        <v>#N/A</v>
      </c>
    </row>
    <row r="41" spans="1:5">
      <c r="A41" s="114">
        <v>34</v>
      </c>
      <c r="B41" s="110" t="s">
        <v>115</v>
      </c>
      <c r="C41" s="105" t="e">
        <f>VLOOKUP(Table257519913140106110151155170178204303306[[#This Row],[PEG]],Table1016[#All],2,FALSE)</f>
        <v>#N/A</v>
      </c>
      <c r="D41" s="113"/>
      <c r="E41" s="122" t="e">
        <f>VLOOKUP(Table257519913140106110151155170178204303306[[#This Row],[PEG]],Table1016[#All],3,FALSE)</f>
        <v>#N/A</v>
      </c>
    </row>
    <row r="42" spans="1:5">
      <c r="A42" s="114">
        <v>35</v>
      </c>
      <c r="B42" s="110" t="s">
        <v>12</v>
      </c>
      <c r="C42" s="105" t="e">
        <f>VLOOKUP(Table257519913140106110151155170178204303306[[#This Row],[PEG]],Table1016[#All],2,FALSE)</f>
        <v>#N/A</v>
      </c>
      <c r="D42" s="111"/>
      <c r="E42" s="122" t="e">
        <f>VLOOKUP(Table257519913140106110151155170178204303306[[#This Row],[PEG]],Table1016[#All],3,FALSE)</f>
        <v>#N/A</v>
      </c>
    </row>
    <row r="43" spans="1:5">
      <c r="A43" s="114">
        <v>36</v>
      </c>
      <c r="B43" s="110" t="s">
        <v>115</v>
      </c>
      <c r="C43" s="105" t="e">
        <f>VLOOKUP(Table257519913140106110151155170178204303306[[#This Row],[PEG]],Table1016[#All],2,FALSE)</f>
        <v>#N/A</v>
      </c>
      <c r="D43" s="111"/>
      <c r="E43" s="122" t="e">
        <f>VLOOKUP(Table257519913140106110151155170178204303306[[#This Row],[PEG]],Table1016[#All],3,FALSE)</f>
        <v>#N/A</v>
      </c>
    </row>
    <row r="44" spans="1:5">
      <c r="A44" s="114">
        <v>37</v>
      </c>
      <c r="B44" s="110" t="s">
        <v>13</v>
      </c>
      <c r="C44" s="17" t="s">
        <v>13</v>
      </c>
      <c r="D44" s="111"/>
      <c r="E44" s="31"/>
    </row>
  </sheetData>
  <mergeCells count="1">
    <mergeCell ref="A1:B1"/>
  </mergeCells>
  <conditionalFormatting sqref="B8:B18">
    <cfRule type="containsText" dxfId="237" priority="1" operator="containsText" text="Hear">
      <formula>NOT(ISERROR(SEARCH("Hear",B8)))</formula>
    </cfRule>
  </conditionalFormatting>
  <conditionalFormatting sqref="B30">
    <cfRule type="containsText" dxfId="236" priority="4" operator="containsText" text="Hear">
      <formula>NOT(ISERROR(SEARCH("Hear",B30)))</formula>
    </cfRule>
  </conditionalFormatting>
  <conditionalFormatting sqref="B43:B44">
    <cfRule type="containsText" dxfId="235" priority="8" operator="containsText" text="Hear">
      <formula>NOT(ISERROR(SEARCH("Hear",B43)))</formula>
    </cfRule>
  </conditionalFormatting>
  <conditionalFormatting sqref="E44">
    <cfRule type="containsText" dxfId="234" priority="6" operator="containsText" text="WEB SERVICE">
      <formula>NOT(ISERROR(SEARCH("WEB SERVICE",E44)))</formula>
    </cfRule>
    <cfRule type="containsText" dxfId="233" priority="7" operator="containsText" text="DB">
      <formula>NOT(ISERROR(SEARCH("DB",E44)))</formula>
    </cfRule>
  </conditionalFormatting>
  <conditionalFormatting sqref="C44">
    <cfRule type="expression" dxfId="232" priority="9">
      <formula>$B44="HANGUP"</formula>
    </cfRule>
    <cfRule type="expression" dxfId="231" priority="9">
      <formula>$B44="Dial"</formula>
    </cfRule>
  </conditionalFormatting>
  <conditionalFormatting sqref="C44">
    <cfRule type="expression" dxfId="230" priority="3">
      <formula>$B44="Speak"</formula>
    </cfRule>
  </conditionalFormatting>
  <conditionalFormatting sqref="B36:B38 B40:B41">
    <cfRule type="containsText" dxfId="229" priority="2" operator="containsText" text="Hear">
      <formula>NOT(ISERROR(SEARCH("Hear",B36)))</formula>
    </cfRule>
  </conditionalFormatting>
  <conditionalFormatting sqref="B19:B29 B31:B35 B42">
    <cfRule type="containsText" dxfId="228" priority="5" operator="containsText" text="Hear">
      <formula>NOT(ISERROR(SEARCH("Hear",B19)))</formula>
    </cfRule>
  </conditionalFormatting>
  <hyperlinks>
    <hyperlink ref="A1" location="'Test Case Overview'!A1" display="Return to Test Case Overview" xr:uid="{00000000-0004-0000-C6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0" id="{70FD45F4-B86E-4A08-A8C2-34FB573ABCB1}">
            <xm:f>'TC1'!$B8="HANGUP"</xm:f>
            <x14:dxf>
              <font>
                <b/>
                <i val="0"/>
              </font>
            </x14:dxf>
          </x14:cfRule>
          <x14:cfRule type="expression" priority="15" id="{57A2E71A-2082-42F8-9294-CEBFBAAAFF49}">
            <xm:f>'TC1'!$B8="Dial"</xm:f>
            <x14:dxf>
              <font>
                <b/>
                <i val="0"/>
                <color rgb="FFFF0000"/>
              </font>
            </x14:dxf>
          </x14:cfRule>
          <xm:sqref>C8</xm:sqref>
        </x14:conditionalFormatting>
        <x14:conditionalFormatting xmlns:xm="http://schemas.microsoft.com/office/excel/2006/main">
          <x14:cfRule type="expression" priority="14" id="{90BC48E9-1E6C-4E91-9B33-E9B3F99089D2}">
            <xm:f>'TC1'!$B8="Speak"</xm:f>
            <x14:dxf>
              <font>
                <b/>
                <i val="0"/>
                <color rgb="FFFF0000"/>
              </font>
            </x14:dxf>
          </x14:cfRule>
          <xm:sqref>C8</xm:sqref>
        </x14:conditionalFormatting>
        <x14:conditionalFormatting xmlns:xm="http://schemas.microsoft.com/office/excel/2006/main">
          <x14:cfRule type="containsText" priority="12" operator="containsText" text="DB" id="{4CEEC640-7A21-40AE-A6EB-3842416E8C81}">
            <xm:f>NOT(ISERROR(SEARCH("DB",'TC1'!E10)))</xm:f>
            <x14:dxf>
              <font>
                <color rgb="FF006100"/>
              </font>
              <fill>
                <patternFill>
                  <bgColor rgb="FFC6EFCE"/>
                </patternFill>
              </fill>
            </x14:dxf>
          </x14:cfRule>
          <x14:cfRule type="containsText" priority="13" operator="containsText" text="WEB SERVICE" id="{8E88EEEB-64CA-4432-A616-767A2DDD8149}">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containsText" priority="16" operator="containsText" text="Hear" id="{3CC6E7CB-2B29-4646-9411-437213F93AB3}">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442" id="{70FD45F4-B86E-4A08-A8C2-34FB573ABCB1}">
            <xm:f>'TC1'!$B14="HANGUP"</xm:f>
            <x14:dxf>
              <font>
                <b/>
                <i val="0"/>
              </font>
            </x14:dxf>
          </x14:cfRule>
          <x14:cfRule type="expression" priority="3443" id="{57A2E71A-2082-42F8-9294-CEBFBAAAFF49}">
            <xm:f>'TC1'!$B14="Dial"</xm:f>
            <x14:dxf>
              <font>
                <b/>
                <i val="0"/>
                <color rgb="FFFF0000"/>
              </font>
            </x14:dxf>
          </x14:cfRule>
          <xm:sqref>C34:C43</xm:sqref>
        </x14:conditionalFormatting>
        <x14:conditionalFormatting xmlns:xm="http://schemas.microsoft.com/office/excel/2006/main">
          <x14:cfRule type="expression" priority="3444" id="{70FD45F4-B86E-4A08-A8C2-34FB573ABCB1}">
            <xm:f>'TC1'!#REF!="HANGUP"</xm:f>
            <x14:dxf>
              <font>
                <b/>
                <i val="0"/>
              </font>
            </x14:dxf>
          </x14:cfRule>
          <x14:cfRule type="expression" priority="3445" id="{57A2E71A-2082-42F8-9294-CEBFBAAAFF49}">
            <xm:f>'TC1'!#REF!="Dial"</xm:f>
            <x14:dxf>
              <font>
                <b/>
                <i val="0"/>
                <color rgb="FFFF0000"/>
              </font>
            </x14:dxf>
          </x14:cfRule>
          <xm:sqref>C13:C33</xm:sqref>
        </x14:conditionalFormatting>
        <x14:conditionalFormatting xmlns:xm="http://schemas.microsoft.com/office/excel/2006/main">
          <x14:cfRule type="expression" priority="3449" id="{90BC48E9-1E6C-4E91-9B33-E9B3F99089D2}">
            <xm:f>'TC1'!$B14="Speak"</xm:f>
            <x14:dxf>
              <font>
                <b/>
                <i val="0"/>
                <color rgb="FFFF0000"/>
              </font>
            </x14:dxf>
          </x14:cfRule>
          <xm:sqref>C34:C43</xm:sqref>
        </x14:conditionalFormatting>
        <x14:conditionalFormatting xmlns:xm="http://schemas.microsoft.com/office/excel/2006/main">
          <x14:cfRule type="expression" priority="3450" id="{90BC48E9-1E6C-4E91-9B33-E9B3F99089D2}">
            <xm:f>'TC1'!#REF!="Speak"</xm:f>
            <x14:dxf>
              <font>
                <b/>
                <i val="0"/>
                <color rgb="FFFF0000"/>
              </font>
            </x14:dxf>
          </x14:cfRule>
          <xm:sqref>C13:C33</xm:sqref>
        </x14:conditionalFormatting>
        <x14:conditionalFormatting xmlns:xm="http://schemas.microsoft.com/office/excel/2006/main">
          <x14:cfRule type="containsText" priority="3454" operator="containsText" text="DB" id="{4CEEC640-7A21-40AE-A6EB-3842416E8C81}">
            <xm:f>NOT(ISERROR(SEARCH("DB",'TC1'!E14)))</xm:f>
            <x14:dxf>
              <font>
                <color rgb="FF006100"/>
              </font>
              <fill>
                <patternFill>
                  <bgColor rgb="FFC6EFCE"/>
                </patternFill>
              </fill>
            </x14:dxf>
          </x14:cfRule>
          <x14:cfRule type="containsText" priority="3455" operator="containsText" text="WEB SERVICE" id="{8E88EEEB-64CA-4432-A616-767A2DDD8149}">
            <xm:f>NOT(ISERROR(SEARCH("WEB SERVICE",'TC1'!E14)))</xm:f>
            <x14:dxf>
              <font>
                <color rgb="FF9C0006"/>
              </font>
              <fill>
                <patternFill>
                  <bgColor rgb="FFFFC7CE"/>
                </patternFill>
              </fill>
            </x14:dxf>
          </x14:cfRule>
          <xm:sqref>E34:E43</xm:sqref>
        </x14:conditionalFormatting>
        <x14:conditionalFormatting xmlns:xm="http://schemas.microsoft.com/office/excel/2006/main">
          <x14:cfRule type="containsText" priority="3456" operator="containsText" text="DB" id="{4CEEC640-7A21-40AE-A6EB-3842416E8C81}">
            <xm:f>NOT(ISERROR(SEARCH("DB",'TC1'!#REF!)))</xm:f>
            <x14:dxf>
              <font>
                <color rgb="FF006100"/>
              </font>
              <fill>
                <patternFill>
                  <bgColor rgb="FFC6EFCE"/>
                </patternFill>
              </fill>
            </x14:dxf>
          </x14:cfRule>
          <x14:cfRule type="containsText" priority="3457" operator="containsText" text="WEB SERVICE" id="{8E88EEEB-64CA-4432-A616-767A2DDD8149}">
            <xm:f>NOT(ISERROR(SEARCH("WEB SERVICE",'TC1'!#REF!)))</xm:f>
            <x14:dxf>
              <font>
                <color rgb="FF9C0006"/>
              </font>
              <fill>
                <patternFill>
                  <bgColor rgb="FFFFC7CE"/>
                </patternFill>
              </fill>
            </x14:dxf>
          </x14:cfRule>
          <xm:sqref>E13:E33</xm:sqref>
        </x14:conditionalFormatting>
        <x14:conditionalFormatting xmlns:xm="http://schemas.microsoft.com/office/excel/2006/main">
          <x14:cfRule type="expression" priority="4648" id="{70FD45F4-B86E-4A08-A8C2-34FB573ABCB1}">
            <xm:f>'TC1'!$B10="HANGUP"</xm:f>
            <x14:dxf>
              <font>
                <b/>
                <i val="0"/>
              </font>
            </x14:dxf>
          </x14:cfRule>
          <x14:cfRule type="expression" priority="4649" id="{57A2E71A-2082-42F8-9294-CEBFBAAAFF49}">
            <xm:f>'TC1'!$B10="Dial"</xm:f>
            <x14:dxf>
              <font>
                <b/>
                <i val="0"/>
                <color rgb="FFFF0000"/>
              </font>
            </x14:dxf>
          </x14:cfRule>
          <xm:sqref>C9:C12</xm:sqref>
        </x14:conditionalFormatting>
        <x14:conditionalFormatting xmlns:xm="http://schemas.microsoft.com/office/excel/2006/main">
          <x14:cfRule type="expression" priority="4651" id="{90BC48E9-1E6C-4E91-9B33-E9B3F99089D2}">
            <xm:f>'TC1'!$B10="Speak"</xm:f>
            <x14:dxf>
              <font>
                <b/>
                <i val="0"/>
                <color rgb="FFFF0000"/>
              </font>
            </x14:dxf>
          </x14:cfRule>
          <xm:sqref>C9:C12</xm:sqref>
        </x14:conditionalFormatting>
        <x14:conditionalFormatting xmlns:xm="http://schemas.microsoft.com/office/excel/2006/main">
          <x14:cfRule type="containsText" priority="6660" operator="containsText" text="Hear" id="{EF572BAF-42DC-4982-B0B3-C6A7A4A735D5}">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31"/>
  <sheetViews>
    <sheetView zoomScaleNormal="100" workbookViewId="0">
      <selection activeCell="C22" sqref="C22"/>
    </sheetView>
  </sheetViews>
  <sheetFormatPr defaultRowHeight="15"/>
  <cols>
    <col min="1" max="1" width="14.42578125" style="78" bestFit="1" customWidth="1"/>
    <col min="2" max="2" width="42.7109375" style="78" customWidth="1"/>
    <col min="3" max="3" width="106.28515625" style="79" customWidth="1"/>
    <col min="4" max="4" width="21.7109375" style="90" bestFit="1" customWidth="1"/>
    <col min="5" max="5" width="20.7109375" style="78" customWidth="1"/>
  </cols>
  <sheetData>
    <row r="1" spans="1:5" ht="18.75">
      <c r="A1" s="197" t="s">
        <v>4</v>
      </c>
      <c r="B1" s="197"/>
      <c r="C1" s="86"/>
    </row>
    <row r="2" spans="1:5">
      <c r="A2" s="87" t="s">
        <v>5</v>
      </c>
      <c r="B2" s="88" t="str">
        <f ca="1">MID(CELL("filename",A1),FIND("]",CELL("filename",A1))+1,LEN(CELL("filename",A1))-FIND("]",CELL("filename",A1)))</f>
        <v>TC1</v>
      </c>
    </row>
    <row r="3" spans="1:5">
      <c r="A3" s="85" t="s">
        <v>19</v>
      </c>
      <c r="B3" s="91" t="str">
        <f ca="1">VLOOKUP(B2,Table1[#All],2,FALSE)</f>
        <v># from from data request</v>
      </c>
    </row>
    <row r="4" spans="1:5" ht="30">
      <c r="A4" s="92" t="s">
        <v>20</v>
      </c>
      <c r="B4" s="80" t="str">
        <f ca="1">VLOOKUP(B2,Table1[#All],4,FALSE)</f>
        <v>general description or data requirements</v>
      </c>
    </row>
    <row r="5" spans="1:5">
      <c r="A5" s="85" t="s">
        <v>6</v>
      </c>
      <c r="B5" s="89" t="str">
        <f ca="1">VLOOKUP(B2,Table1[#All],3,FALSE)</f>
        <v>Call Start Xfer to Spanish</v>
      </c>
    </row>
    <row r="7" spans="1:5" ht="15.75">
      <c r="A7" s="81" t="s">
        <v>7</v>
      </c>
      <c r="B7" s="82" t="s">
        <v>8</v>
      </c>
      <c r="C7" s="83" t="s">
        <v>9</v>
      </c>
      <c r="D7" s="83" t="s">
        <v>14</v>
      </c>
      <c r="E7" s="84" t="s">
        <v>10</v>
      </c>
    </row>
    <row r="8" spans="1:5">
      <c r="A8" s="114">
        <v>1</v>
      </c>
      <c r="B8" s="110" t="s">
        <v>114</v>
      </c>
      <c r="C8" s="124" t="s">
        <v>125</v>
      </c>
      <c r="D8" s="125"/>
      <c r="E8" s="122" t="s">
        <v>11</v>
      </c>
    </row>
    <row r="9" spans="1:5" s="93" customFormat="1">
      <c r="A9" s="114">
        <v>2</v>
      </c>
      <c r="B9" s="110" t="s">
        <v>115</v>
      </c>
      <c r="C9" s="148" t="str">
        <f>VLOOKUP(Table257552526[[#This Row],[PEG]],Table1016[],2,FALSE)</f>
        <v>CallID.wav Call ID &lt;CallID&gt;</v>
      </c>
      <c r="D9" s="147" t="s">
        <v>482</v>
      </c>
      <c r="E9" s="122"/>
    </row>
    <row r="10" spans="1:5" s="93" customFormat="1" ht="30">
      <c r="A10" s="114">
        <v>3</v>
      </c>
      <c r="B10" s="110" t="s">
        <v>115</v>
      </c>
      <c r="C10" s="105" t="str">
        <f>VLOOKUP(Table257552526[[#This Row],[PEG]],Table1016[],2,FALSE)</f>
        <v>0100.wav Thank you for calling Shell vacations Club, we are glad you called. Please have your account number available for faster service. [To continue in Spanish, press 9]</v>
      </c>
      <c r="D10" s="126">
        <v>100</v>
      </c>
      <c r="E10" s="122" t="str">
        <f>VLOOKUP(Table257552526[[#This Row],[PEG]],Table1016[#All],3,FALSE)</f>
        <v>PLAY PROMPT</v>
      </c>
    </row>
    <row r="11" spans="1:5" s="93" customFormat="1">
      <c r="A11" s="114">
        <v>4</v>
      </c>
      <c r="B11" s="110" t="s">
        <v>114</v>
      </c>
      <c r="C11" s="105" t="s">
        <v>465</v>
      </c>
      <c r="D11" s="126"/>
      <c r="E11" s="122" t="e">
        <f>VLOOKUP(Table257552526[[#This Row],[PEG]],Table1016[#All],3,FALSE)</f>
        <v>#N/A</v>
      </c>
    </row>
    <row r="12" spans="1:5" s="93" customFormat="1">
      <c r="A12" s="114">
        <v>5</v>
      </c>
      <c r="B12" s="110" t="s">
        <v>115</v>
      </c>
      <c r="C12" s="105" t="s">
        <v>466</v>
      </c>
      <c r="D12" s="126"/>
      <c r="E12" s="122" t="e">
        <f>VLOOKUP(Table257552526[[#This Row],[PEG]],Table1016[#All],3,FALSE)</f>
        <v>#N/A</v>
      </c>
    </row>
    <row r="13" spans="1:5" s="93" customFormat="1">
      <c r="A13" s="114">
        <v>6</v>
      </c>
      <c r="B13" s="110" t="s">
        <v>13</v>
      </c>
      <c r="C13" s="105" t="s">
        <v>13</v>
      </c>
      <c r="D13" s="126"/>
      <c r="E13" s="122" t="e">
        <f>VLOOKUP(Table257552526[[#This Row],[PEG]],Table1016[#All],3,FALSE)</f>
        <v>#N/A</v>
      </c>
    </row>
    <row r="14" spans="1:5">
      <c r="C14" s="25"/>
      <c r="D14" s="90" t="s">
        <v>0</v>
      </c>
    </row>
    <row r="15" spans="1:5">
      <c r="C15" s="25"/>
    </row>
    <row r="16" spans="1:5">
      <c r="C16" s="25"/>
    </row>
    <row r="17" spans="3:3">
      <c r="C17" s="25"/>
    </row>
    <row r="18" spans="3:3">
      <c r="C18" s="25"/>
    </row>
    <row r="19" spans="3:3">
      <c r="C19" s="25"/>
    </row>
    <row r="20" spans="3:3">
      <c r="C20" s="25"/>
    </row>
    <row r="21" spans="3:3">
      <c r="C21" s="25"/>
    </row>
    <row r="22" spans="3:3">
      <c r="C22" s="25"/>
    </row>
    <row r="23" spans="3:3">
      <c r="C23" s="25"/>
    </row>
    <row r="24" spans="3:3">
      <c r="C24" s="25"/>
    </row>
    <row r="25" spans="3:3">
      <c r="C25" s="25"/>
    </row>
    <row r="26" spans="3:3">
      <c r="C26" s="25"/>
    </row>
    <row r="27" spans="3:3">
      <c r="C27" s="25"/>
    </row>
    <row r="28" spans="3:3">
      <c r="C28" s="25"/>
    </row>
    <row r="29" spans="3:3">
      <c r="C29" s="26"/>
    </row>
    <row r="30" spans="3:3">
      <c r="C30" s="26"/>
    </row>
    <row r="31" spans="3:3">
      <c r="C31" s="26"/>
    </row>
  </sheetData>
  <mergeCells count="1">
    <mergeCell ref="A1:B1"/>
  </mergeCells>
  <conditionalFormatting sqref="B8:B13">
    <cfRule type="containsText" dxfId="6665" priority="7" operator="containsText" text="Hear">
      <formula>NOT(ISERROR(SEARCH("Hear",B8)))</formula>
    </cfRule>
  </conditionalFormatting>
  <conditionalFormatting sqref="C10:C9970">
    <cfRule type="expression" dxfId="6664" priority="13">
      <formula>$B10="Dial"</formula>
    </cfRule>
    <cfRule type="expression" dxfId="6663" priority="15">
      <formula>$B10="HANGUP"</formula>
    </cfRule>
  </conditionalFormatting>
  <conditionalFormatting sqref="C10:C13">
    <cfRule type="expression" dxfId="6662" priority="14">
      <formula>$B10="Speak"</formula>
    </cfRule>
  </conditionalFormatting>
  <conditionalFormatting sqref="E10:E13">
    <cfRule type="containsText" dxfId="6661" priority="8" operator="containsText" text="WEB SERVICE">
      <formula>NOT(ISERROR(SEARCH("WEB SERVICE",E10)))</formula>
    </cfRule>
    <cfRule type="containsText" dxfId="6660" priority="9" operator="containsText" text="DB">
      <formula>NOT(ISERROR(SEARCH("DB",E10)))</formula>
    </cfRule>
  </conditionalFormatting>
  <conditionalFormatting sqref="C8:C9">
    <cfRule type="expression" dxfId="6659" priority="3">
      <formula>$B8="Dial"</formula>
    </cfRule>
    <cfRule type="expression" dxfId="6658" priority="4">
      <formula>$B8="HANGUP"</formula>
    </cfRule>
  </conditionalFormatting>
  <hyperlinks>
    <hyperlink ref="A1" location="'Test Case Overview'!A1" display="Return to Test Case Overview" xr:uid="{00000000-0004-0000-0100-000000000000}"/>
  </hyperlinks>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E37"/>
  <sheetViews>
    <sheetView zoomScaleNormal="100" workbookViewId="0">
      <selection activeCell="D16" sqref="D16"/>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TC19</v>
      </c>
    </row>
    <row r="3" spans="1:5">
      <c r="A3" s="100" t="s">
        <v>19</v>
      </c>
      <c r="B3" s="108">
        <f ca="1">VLOOKUP(B2,Table1[#All],2,FALSE)</f>
        <v>0</v>
      </c>
    </row>
    <row r="4" spans="1:5" ht="30">
      <c r="A4" s="109" t="s">
        <v>20</v>
      </c>
      <c r="B4" s="95">
        <f ca="1">VLOOKUP(B2,Table1[#All],4,FALSE)</f>
        <v>0</v>
      </c>
    </row>
    <row r="5" spans="1:5" ht="30">
      <c r="A5" s="100" t="s">
        <v>6</v>
      </c>
      <c r="B5" s="89" t="str">
        <f ca="1">VLOOKUP(B2,Table1[#All],3,FALSE)</f>
        <v>CallStart Main Menu /Payments /more options/Rep</v>
      </c>
    </row>
    <row r="7" spans="1:5" ht="15.75">
      <c r="A7" s="96" t="s">
        <v>7</v>
      </c>
      <c r="B7" s="97" t="s">
        <v>8</v>
      </c>
      <c r="C7" s="98" t="s">
        <v>9</v>
      </c>
      <c r="D7" s="98" t="s">
        <v>14</v>
      </c>
      <c r="E7" s="99" t="s">
        <v>10</v>
      </c>
    </row>
    <row r="8" spans="1:5">
      <c r="A8" s="114">
        <v>1</v>
      </c>
      <c r="B8" s="110" t="s">
        <v>114</v>
      </c>
      <c r="C8" s="124" t="s">
        <v>125</v>
      </c>
      <c r="D8" s="125"/>
      <c r="E8" s="122" t="s">
        <v>11</v>
      </c>
    </row>
    <row r="9" spans="1:5" s="93" customFormat="1">
      <c r="A9" s="114">
        <v>2</v>
      </c>
      <c r="B9" s="110" t="s">
        <v>115</v>
      </c>
      <c r="C9" s="105" t="str">
        <f>VLOOKUP(Table2575525269101343444647[[#This Row],[PEG]],Table1016[#All],2,FALSE)</f>
        <v>CallID.wav Call ID &lt;CallID&gt;</v>
      </c>
      <c r="D9" s="160" t="s">
        <v>477</v>
      </c>
      <c r="E9" s="122" t="str">
        <f>VLOOKUP(Table2575525269101343444647[[#This Row],[PEG]],Table1016[#All],3,FALSE)</f>
        <v>TEST</v>
      </c>
    </row>
    <row r="10" spans="1:5" ht="30">
      <c r="A10" s="114">
        <v>3</v>
      </c>
      <c r="B10" s="110" t="s">
        <v>115</v>
      </c>
      <c r="C10" s="105" t="str">
        <f>VLOOKUP(Table2575525269101343444647[[#This Row],[PEG]],Table1016[#All],2,FALSE)</f>
        <v>0100.wav Thank you for calling Shell vacations Club, we are glad you called. Please have your account number available for faster service. [To continue in Spanish, press 9]</v>
      </c>
      <c r="D10" s="160">
        <v>100</v>
      </c>
      <c r="E10" s="122" t="str">
        <f>VLOOKUP(Table2575525269101343444647[[#This Row],[PEG]],Table1016[#All],3,FALSE)</f>
        <v>PLAY PROMPT</v>
      </c>
    </row>
    <row r="11" spans="1:5" ht="30">
      <c r="A11" s="114">
        <v>4</v>
      </c>
      <c r="B11" s="110" t="s">
        <v>115</v>
      </c>
      <c r="C11" s="105" t="str">
        <f>VLOOKUP(Table2575525269101343444647[[#This Row],[PEG]],Table1016[#All],2,FALSE)</f>
        <v>0110-1.wav Which would you like? You can say... reservations, payments &amp; statements, title &amp; ownership changes, or more options.</v>
      </c>
      <c r="D11" s="160">
        <v>110</v>
      </c>
      <c r="E11" s="122" t="str">
        <f>VLOOKUP(Table2575525269101343444647[[#This Row],[PEG]],Table1016[#All],3,FALSE)</f>
        <v>MENU PROMPT</v>
      </c>
    </row>
    <row r="12" spans="1:5">
      <c r="A12" s="114">
        <v>5</v>
      </c>
      <c r="B12" s="110" t="s">
        <v>124</v>
      </c>
      <c r="C12" s="105" t="s">
        <v>565</v>
      </c>
      <c r="D12" s="160"/>
      <c r="E12" s="122" t="e">
        <f>VLOOKUP(Table2575525269101343444647[[#This Row],[PEG]],Table1016[#All],3,FALSE)</f>
        <v>#N/A</v>
      </c>
    </row>
    <row r="13" spans="1:5" ht="30">
      <c r="A13" s="114">
        <v>6</v>
      </c>
      <c r="B13" s="110" t="s">
        <v>115</v>
      </c>
      <c r="C13" s="105" t="str">
        <f>VLOOKUP(Table2575525269101343444647[[#This Row],[PEG]],Table1016[#All],2,FALSE)</f>
        <v>400.wav You can say make a payment, check account status, request a document, or more options. Which would you like?</v>
      </c>
      <c r="D13" s="160">
        <v>400</v>
      </c>
      <c r="E13" s="122" t="str">
        <f>VLOOKUP(Table2575525269101343444647[[#This Row],[PEG]],Table1016[#All],3,FALSE)</f>
        <v>MENU PROMPT</v>
      </c>
    </row>
    <row r="14" spans="1:5">
      <c r="A14" s="114">
        <v>7</v>
      </c>
      <c r="B14" s="110" t="s">
        <v>124</v>
      </c>
      <c r="C14" s="105" t="s">
        <v>468</v>
      </c>
      <c r="D14" s="125"/>
      <c r="E14" s="122" t="e">
        <f>VLOOKUP(Table2575525269101343444647[[#This Row],[PEG]],Table1016[#All],3,FALSE)</f>
        <v>#N/A</v>
      </c>
    </row>
    <row r="15" spans="1:5" ht="30">
      <c r="A15" s="114">
        <v>8</v>
      </c>
      <c r="B15" s="110" t="s">
        <v>115</v>
      </c>
      <c r="C15" s="105" t="str">
        <f>VLOOKUP(Table2575525269101343444647[[#This Row],[PEG]],Table1016[#All],2,FALSE)</f>
        <v>405.wav You can say Perks by Club Wyndham, mailing address, wire transfer information, down payment questions, or speak to a representative. Which would you like?</v>
      </c>
      <c r="D15" s="153">
        <v>405</v>
      </c>
      <c r="E15" s="122" t="str">
        <f>VLOOKUP(Table2575525269101343444647[[#This Row],[PEG]],Table1016[#All],3,FALSE)</f>
        <v>MENU PROMPT</v>
      </c>
    </row>
    <row r="16" spans="1:5">
      <c r="A16" s="114">
        <v>9</v>
      </c>
      <c r="B16" s="110" t="s">
        <v>124</v>
      </c>
      <c r="C16" s="105" t="s">
        <v>473</v>
      </c>
      <c r="D16" s="153"/>
      <c r="E16" s="122" t="e">
        <f>VLOOKUP(Table2575525269101343444647[[#This Row],[PEG]],Table1016[#All],3,FALSE)</f>
        <v>#N/A</v>
      </c>
    </row>
    <row r="17" spans="1:5">
      <c r="A17" s="114">
        <v>10</v>
      </c>
      <c r="B17" s="110" t="s">
        <v>12</v>
      </c>
      <c r="C17" s="105" t="str">
        <f>VLOOKUP(Table2575525269101343444647[[#This Row],[PEG]],Table1016[#All],2,FALSE)</f>
        <v>0900.wav Please hold, while I connect you to a customer service representative.</v>
      </c>
      <c r="D17" s="154">
        <v>900</v>
      </c>
      <c r="E17" s="122" t="str">
        <f>VLOOKUP(Table2575525269101343444647[[#This Row],[PEG]],Table1016[#All],3,FALSE)</f>
        <v>PLAY PROMPT</v>
      </c>
    </row>
    <row r="18" spans="1:5">
      <c r="A18" s="114">
        <v>11</v>
      </c>
      <c r="B18" s="110" t="s">
        <v>12</v>
      </c>
      <c r="C18" s="127" t="str">
        <f>VLOOKUP(Table2575525269101343444647[[#This Row],[PEG]],Table1016[#All],2,FALSE)</f>
        <v>XferNbr.wav Transfer Number &lt;TransferNbr&gt;</v>
      </c>
      <c r="D18" s="154" t="s">
        <v>480</v>
      </c>
      <c r="E18" s="122" t="str">
        <f>VLOOKUP(Table2575525269101343444647[[#This Row],[PEG]],Table1016[#All],3,FALSE)</f>
        <v>TEST</v>
      </c>
    </row>
    <row r="19" spans="1:5">
      <c r="A19" s="114">
        <v>12</v>
      </c>
      <c r="B19" s="110" t="s">
        <v>13</v>
      </c>
      <c r="C19" s="105" t="s">
        <v>13</v>
      </c>
      <c r="D19" s="111"/>
      <c r="E19" s="31"/>
    </row>
    <row r="20" spans="1:5">
      <c r="C20" s="25"/>
      <c r="D20" s="107" t="s">
        <v>0</v>
      </c>
    </row>
    <row r="21" spans="1:5">
      <c r="C21" s="25"/>
    </row>
    <row r="22" spans="1:5">
      <c r="C22" s="25"/>
    </row>
    <row r="23" spans="1:5">
      <c r="C23" s="25"/>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6"/>
    </row>
    <row r="36" spans="3:3">
      <c r="C36" s="26"/>
    </row>
    <row r="37" spans="3:3">
      <c r="C37" s="26"/>
    </row>
  </sheetData>
  <mergeCells count="1">
    <mergeCell ref="A1:B1"/>
  </mergeCells>
  <conditionalFormatting sqref="E19">
    <cfRule type="containsText" dxfId="6167" priority="23" operator="containsText" text="WEB SERVICE">
      <formula>NOT(ISERROR(SEARCH("WEB SERVICE",E19)))</formula>
    </cfRule>
    <cfRule type="containsText" dxfId="6166" priority="24" operator="containsText" text="DB">
      <formula>NOT(ISERROR(SEARCH("DB",E19)))</formula>
    </cfRule>
  </conditionalFormatting>
  <conditionalFormatting sqref="C19:C9976">
    <cfRule type="expression" dxfId="6165" priority="26">
      <formula>$B19="Dial"</formula>
    </cfRule>
    <cfRule type="expression" dxfId="6164" priority="28">
      <formula>$B19="HANGUP"</formula>
    </cfRule>
  </conditionalFormatting>
  <conditionalFormatting sqref="B8:B19">
    <cfRule type="containsText" dxfId="6163" priority="10" operator="containsText" text="Hear">
      <formula>NOT(ISERROR(SEARCH("Hear",B8)))</formula>
    </cfRule>
  </conditionalFormatting>
  <conditionalFormatting sqref="C10:C17">
    <cfRule type="expression" dxfId="6162" priority="11">
      <formula>$B10="Dial"</formula>
    </cfRule>
    <cfRule type="expression" dxfId="6161" priority="13">
      <formula>$B10="HANGUP"</formula>
    </cfRule>
  </conditionalFormatting>
  <conditionalFormatting sqref="C10:C17 C19">
    <cfRule type="expression" dxfId="6160" priority="12">
      <formula>$B10="Speak"</formula>
    </cfRule>
  </conditionalFormatting>
  <conditionalFormatting sqref="C18">
    <cfRule type="expression" dxfId="6159" priority="8">
      <formula>$B18="Dial"</formula>
    </cfRule>
    <cfRule type="expression" dxfId="6158" priority="9">
      <formula>$B18="HANGUP"</formula>
    </cfRule>
  </conditionalFormatting>
  <conditionalFormatting sqref="C8">
    <cfRule type="expression" dxfId="6157" priority="6">
      <formula>$B8="Dial"</formula>
    </cfRule>
    <cfRule type="expression" dxfId="6156" priority="7">
      <formula>$B8="HANGUP"</formula>
    </cfRule>
  </conditionalFormatting>
  <conditionalFormatting sqref="C9">
    <cfRule type="expression" dxfId="6155" priority="3">
      <formula>$B9="Dial"</formula>
    </cfRule>
    <cfRule type="expression" dxfId="6154" priority="5">
      <formula>$B9="HANGUP"</formula>
    </cfRule>
  </conditionalFormatting>
  <conditionalFormatting sqref="C9">
    <cfRule type="expression" dxfId="6153" priority="4">
      <formula>$B9="Speak"</formula>
    </cfRule>
  </conditionalFormatting>
  <hyperlinks>
    <hyperlink ref="A1" location="'Test Case Overview'!A1" display="Return to Test Case Overview" xr:uid="{00000000-0004-0000-13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16" operator="containsText" text="WEB SERVICE" id="{F4A490C0-A4E8-4B15-8A5A-BAFFDDCCE630}">
            <xm:f>NOT(ISERROR(SEARCH("WEB SERVICE",'TC1'!E9)))</xm:f>
            <x14:dxf>
              <font>
                <color rgb="FF9C0006"/>
              </font>
              <fill>
                <patternFill>
                  <bgColor rgb="FFFFC7CE"/>
                </patternFill>
              </fill>
            </x14:dxf>
          </x14:cfRule>
          <x14:cfRule type="containsText" priority="17" operator="containsText" text="DB" id="{79551DF9-D5CA-4A68-A1CF-9F024705FE71}">
            <xm:f>NOT(ISERROR(SEARCH("DB",'TC1'!E9)))</xm:f>
            <x14:dxf>
              <font>
                <color rgb="FF006100"/>
              </font>
              <fill>
                <patternFill>
                  <bgColor rgb="FFC6EFCE"/>
                </patternFill>
              </fill>
            </x14:dxf>
          </x14:cfRule>
          <xm:sqref>E9:E13</xm:sqref>
        </x14:conditionalFormatting>
        <x14:conditionalFormatting xmlns:xm="http://schemas.microsoft.com/office/excel/2006/main">
          <x14:cfRule type="containsText" priority="780" operator="containsText" text="WEB SERVICE" id="{F4A490C0-A4E8-4B15-8A5A-BAFFDDCCE630}">
            <xm:f>NOT(ISERROR(SEARCH("WEB SERVICE",'TC1'!#REF!)))</xm:f>
            <x14:dxf>
              <font>
                <color rgb="FF9C0006"/>
              </font>
              <fill>
                <patternFill>
                  <bgColor rgb="FFFFC7CE"/>
                </patternFill>
              </fill>
            </x14:dxf>
          </x14:cfRule>
          <x14:cfRule type="containsText" priority="781" operator="containsText" text="DB" id="{79551DF9-D5CA-4A68-A1CF-9F024705FE71}">
            <xm:f>NOT(ISERROR(SEARCH("DB",'TC1'!#REF!)))</xm:f>
            <x14:dxf>
              <font>
                <color rgb="FF006100"/>
              </font>
              <fill>
                <patternFill>
                  <bgColor rgb="FFC6EFCE"/>
                </patternFill>
              </fill>
            </x14:dxf>
          </x14:cfRule>
          <xm:sqref>E14:E18</xm:sqref>
        </x14:conditionalFormatting>
      </x14:conditionalFormattings>
    </ext>
  </extLst>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700-000000000000}">
  <sheetPr codeName="Sheet201"/>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TC199</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VLOOKUP(Table257519913140106110151155170178204303308[[#This Row],[PEG]],Table1016[#All],2,FALSE)</f>
        <v>#N/A</v>
      </c>
      <c r="D9" s="125"/>
      <c r="E9" s="122" t="e">
        <f>VLOOKUP(Table257519913140106110151155170178204303308[[#This Row],[PEG]],Table1016[#All],3,FALSE)</f>
        <v>#N/A</v>
      </c>
    </row>
    <row r="10" spans="1:5">
      <c r="A10" s="114">
        <v>3</v>
      </c>
      <c r="B10" s="110" t="s">
        <v>115</v>
      </c>
      <c r="C10" s="105" t="e">
        <f>VLOOKUP(Table257519913140106110151155170178204303308[[#This Row],[PEG]],Table1016[#All],2,FALSE)</f>
        <v>#N/A</v>
      </c>
      <c r="D10" s="125"/>
      <c r="E10" s="122" t="e">
        <f>VLOOKUP(Table257519913140106110151155170178204303308[[#This Row],[PEG]],Table1016[#All],3,FALSE)</f>
        <v>#N/A</v>
      </c>
    </row>
    <row r="11" spans="1:5">
      <c r="A11" s="114">
        <v>4</v>
      </c>
      <c r="B11" s="110" t="s">
        <v>115</v>
      </c>
      <c r="C11" s="105" t="e">
        <f>VLOOKUP(Table257519913140106110151155170178204303308[[#This Row],[PEG]],Table1016[#All],2,FALSE)</f>
        <v>#N/A</v>
      </c>
      <c r="D11" s="125"/>
      <c r="E11" s="122" t="e">
        <f>VLOOKUP(Table257519913140106110151155170178204303308[[#This Row],[PEG]],Table1016[#All],3,FALSE)</f>
        <v>#N/A</v>
      </c>
    </row>
    <row r="12" spans="1:5">
      <c r="A12" s="114">
        <v>5</v>
      </c>
      <c r="B12" s="110" t="s">
        <v>114</v>
      </c>
      <c r="C12" s="105" t="e">
        <f>VLOOKUP(Table257519913140106110151155170178204303308[[#This Row],[PEG]],Table1016[#All],2,FALSE)</f>
        <v>#N/A</v>
      </c>
      <c r="D12" s="125"/>
      <c r="E12" s="122" t="e">
        <f>VLOOKUP(Table257519913140106110151155170178204303308[[#This Row],[PEG]],Table1016[#All],3,FALSE)</f>
        <v>#N/A</v>
      </c>
    </row>
    <row r="13" spans="1:5">
      <c r="A13" s="114">
        <v>6</v>
      </c>
      <c r="B13" s="110" t="s">
        <v>115</v>
      </c>
      <c r="C13" s="105" t="e">
        <f>VLOOKUP(Table257519913140106110151155170178204303308[[#This Row],[PEG]],Table1016[#All],2,FALSE)</f>
        <v>#N/A</v>
      </c>
      <c r="D13" s="125"/>
      <c r="E13" s="122" t="e">
        <f>VLOOKUP(Table257519913140106110151155170178204303308[[#This Row],[PEG]],Table1016[#All],3,FALSE)</f>
        <v>#N/A</v>
      </c>
    </row>
    <row r="14" spans="1:5">
      <c r="A14" s="114">
        <v>7</v>
      </c>
      <c r="B14" s="110" t="s">
        <v>114</v>
      </c>
      <c r="C14" s="105" t="e">
        <f>VLOOKUP(Table257519913140106110151155170178204303308[[#This Row],[PEG]],Table1016[#All],2,FALSE)</f>
        <v>#N/A</v>
      </c>
      <c r="D14" s="125"/>
      <c r="E14" s="122" t="e">
        <f>VLOOKUP(Table257519913140106110151155170178204303308[[#This Row],[PEG]],Table1016[#All],3,FALSE)</f>
        <v>#N/A</v>
      </c>
    </row>
    <row r="15" spans="1:5">
      <c r="A15" s="114">
        <v>8</v>
      </c>
      <c r="B15" s="110" t="s">
        <v>115</v>
      </c>
      <c r="C15" s="105" t="e">
        <f>VLOOKUP(Table257519913140106110151155170178204303308[[#This Row],[PEG]],Table1016[#All],2,FALSE)</f>
        <v>#N/A</v>
      </c>
      <c r="D15" s="112"/>
      <c r="E15" s="122" t="e">
        <f>VLOOKUP(Table257519913140106110151155170178204303308[[#This Row],[PEG]],Table1016[#All],3,FALSE)</f>
        <v>#N/A</v>
      </c>
    </row>
    <row r="16" spans="1:5">
      <c r="A16" s="114">
        <v>9</v>
      </c>
      <c r="B16" s="110" t="s">
        <v>12</v>
      </c>
      <c r="C16" s="105" t="e">
        <f>VLOOKUP(Table257519913140106110151155170178204303308[[#This Row],[PEG]],Table1016[#All],2,FALSE)</f>
        <v>#N/A</v>
      </c>
      <c r="D16" s="112"/>
      <c r="E16" s="122" t="e">
        <f>VLOOKUP(Table257519913140106110151155170178204303308[[#This Row],[PEG]],Table1016[#All],3,FALSE)</f>
        <v>#N/A</v>
      </c>
    </row>
    <row r="17" spans="1:5">
      <c r="A17" s="114">
        <v>10</v>
      </c>
      <c r="B17" s="110" t="s">
        <v>12</v>
      </c>
      <c r="C17" s="105" t="e">
        <f>VLOOKUP(Table257519913140106110151155170178204303308[[#This Row],[PEG]],Table1016[#All],2,FALSE)</f>
        <v>#N/A</v>
      </c>
      <c r="D17" s="113"/>
      <c r="E17" s="122" t="e">
        <f>VLOOKUP(Table257519913140106110151155170178204303308[[#This Row],[PEG]],Table1016[#All],3,FALSE)</f>
        <v>#N/A</v>
      </c>
    </row>
    <row r="18" spans="1:5">
      <c r="A18" s="114">
        <v>11</v>
      </c>
      <c r="B18" s="110" t="s">
        <v>115</v>
      </c>
      <c r="C18" s="105" t="e">
        <f>VLOOKUP(Table257519913140106110151155170178204303308[[#This Row],[PEG]],Table1016[#All],2,FALSE)</f>
        <v>#N/A</v>
      </c>
      <c r="D18" s="113"/>
      <c r="E18" s="122" t="e">
        <f>VLOOKUP(Table257519913140106110151155170178204303308[[#This Row],[PEG]],Table1016[#All],3,FALSE)</f>
        <v>#N/A</v>
      </c>
    </row>
    <row r="19" spans="1:5">
      <c r="A19" s="114">
        <v>12</v>
      </c>
      <c r="B19" s="110" t="s">
        <v>115</v>
      </c>
      <c r="C19" s="105" t="e">
        <f>VLOOKUP(Table257519913140106110151155170178204303308[[#This Row],[PEG]],Table1016[#All],2,FALSE)</f>
        <v>#N/A</v>
      </c>
      <c r="D19" s="113"/>
      <c r="E19" s="122" t="e">
        <f>VLOOKUP(Table257519913140106110151155170178204303308[[#This Row],[PEG]],Table1016[#All],3,FALSE)</f>
        <v>#N/A</v>
      </c>
    </row>
    <row r="20" spans="1:5">
      <c r="A20" s="114">
        <v>13</v>
      </c>
      <c r="B20" s="110" t="s">
        <v>114</v>
      </c>
      <c r="C20" s="105" t="e">
        <f>VLOOKUP(Table257519913140106110151155170178204303308[[#This Row],[PEG]],Table1016[#All],2,FALSE)</f>
        <v>#N/A</v>
      </c>
      <c r="D20" s="113"/>
      <c r="E20" s="122" t="e">
        <f>VLOOKUP(Table257519913140106110151155170178204303308[[#This Row],[PEG]],Table1016[#All],3,FALSE)</f>
        <v>#N/A</v>
      </c>
    </row>
    <row r="21" spans="1:5">
      <c r="A21" s="114">
        <v>14</v>
      </c>
      <c r="B21" s="110" t="s">
        <v>12</v>
      </c>
      <c r="C21" s="105" t="e">
        <f>VLOOKUP(Table257519913140106110151155170178204303308[[#This Row],[PEG]],Table1016[#All],2,FALSE)</f>
        <v>#N/A</v>
      </c>
      <c r="D21" s="113"/>
      <c r="E21" s="122" t="e">
        <f>VLOOKUP(Table257519913140106110151155170178204303308[[#This Row],[PEG]],Table1016[#All],3,FALSE)</f>
        <v>#N/A</v>
      </c>
    </row>
    <row r="22" spans="1:5">
      <c r="A22" s="114">
        <v>15</v>
      </c>
      <c r="B22" s="110" t="s">
        <v>12</v>
      </c>
      <c r="C22" s="105" t="e">
        <f>VLOOKUP(Table257519913140106110151155170178204303308[[#This Row],[PEG]],Table1016[#All],2,FALSE)</f>
        <v>#N/A</v>
      </c>
      <c r="D22" s="113"/>
      <c r="E22" s="122" t="e">
        <f>VLOOKUP(Table257519913140106110151155170178204303308[[#This Row],[PEG]],Table1016[#All],3,FALSE)</f>
        <v>#N/A</v>
      </c>
    </row>
    <row r="23" spans="1:5">
      <c r="A23" s="114">
        <v>16</v>
      </c>
      <c r="B23" s="110" t="s">
        <v>115</v>
      </c>
      <c r="C23" s="105" t="e">
        <f>VLOOKUP(Table257519913140106110151155170178204303308[[#This Row],[PEG]],Table1016[#All],2,FALSE)</f>
        <v>#N/A</v>
      </c>
      <c r="D23" s="113"/>
      <c r="E23" s="122" t="e">
        <f>VLOOKUP(Table257519913140106110151155170178204303308[[#This Row],[PEG]],Table1016[#All],3,FALSE)</f>
        <v>#N/A</v>
      </c>
    </row>
    <row r="24" spans="1:5">
      <c r="A24" s="114">
        <v>17</v>
      </c>
      <c r="B24" s="110" t="s">
        <v>114</v>
      </c>
      <c r="C24" s="105" t="e">
        <f>VLOOKUP(Table257519913140106110151155170178204303308[[#This Row],[PEG]],Table1016[#All],2,FALSE)</f>
        <v>#N/A</v>
      </c>
      <c r="D24" s="113"/>
      <c r="E24" s="122" t="e">
        <f>VLOOKUP(Table257519913140106110151155170178204303308[[#This Row],[PEG]],Table1016[#All],3,FALSE)</f>
        <v>#N/A</v>
      </c>
    </row>
    <row r="25" spans="1:5">
      <c r="A25" s="114">
        <v>18</v>
      </c>
      <c r="B25" s="110" t="s">
        <v>12</v>
      </c>
      <c r="C25" s="105" t="e">
        <f>VLOOKUP(Table257519913140106110151155170178204303308[[#This Row],[PEG]],Table1016[#All],2,FALSE)</f>
        <v>#N/A</v>
      </c>
      <c r="D25" s="113"/>
      <c r="E25" s="122" t="e">
        <f>VLOOKUP(Table257519913140106110151155170178204303308[[#This Row],[PEG]],Table1016[#All],3,FALSE)</f>
        <v>#N/A</v>
      </c>
    </row>
    <row r="26" spans="1:5">
      <c r="A26" s="114">
        <v>19</v>
      </c>
      <c r="B26" s="110" t="s">
        <v>12</v>
      </c>
      <c r="C26" s="105" t="e">
        <f>VLOOKUP(Table257519913140106110151155170178204303308[[#This Row],[PEG]],Table1016[#All],2,FALSE)</f>
        <v>#N/A</v>
      </c>
      <c r="D26" s="113"/>
      <c r="E26" s="122" t="e">
        <f>VLOOKUP(Table257519913140106110151155170178204303308[[#This Row],[PEG]],Table1016[#All],3,FALSE)</f>
        <v>#N/A</v>
      </c>
    </row>
    <row r="27" spans="1:5">
      <c r="A27" s="114">
        <v>20</v>
      </c>
      <c r="B27" s="110" t="s">
        <v>115</v>
      </c>
      <c r="C27" s="105" t="e">
        <f>VLOOKUP(Table257519913140106110151155170178204303308[[#This Row],[PEG]],Table1016[#All],2,FALSE)</f>
        <v>#N/A</v>
      </c>
      <c r="D27" s="113"/>
      <c r="E27" s="122" t="e">
        <f>VLOOKUP(Table257519913140106110151155170178204303308[[#This Row],[PEG]],Table1016[#All],3,FALSE)</f>
        <v>#N/A</v>
      </c>
    </row>
    <row r="28" spans="1:5">
      <c r="A28" s="114">
        <v>21</v>
      </c>
      <c r="B28" s="110" t="s">
        <v>114</v>
      </c>
      <c r="C28" s="105" t="e">
        <f>VLOOKUP(Table257519913140106110151155170178204303308[[#This Row],[PEG]],Table1016[#All],2,FALSE)</f>
        <v>#N/A</v>
      </c>
      <c r="D28" s="113"/>
      <c r="E28" s="122" t="e">
        <f>VLOOKUP(Table257519913140106110151155170178204303308[[#This Row],[PEG]],Table1016[#All],3,FALSE)</f>
        <v>#N/A</v>
      </c>
    </row>
    <row r="29" spans="1:5">
      <c r="A29" s="114">
        <v>22</v>
      </c>
      <c r="B29" s="110" t="s">
        <v>12</v>
      </c>
      <c r="C29" s="105" t="e">
        <f>VLOOKUP(Table257519913140106110151155170178204303308[[#This Row],[PEG]],Table1016[#All],2,FALSE)</f>
        <v>#N/A</v>
      </c>
      <c r="D29" s="113"/>
      <c r="E29" s="122" t="e">
        <f>VLOOKUP(Table257519913140106110151155170178204303308[[#This Row],[PEG]],Table1016[#All],3,FALSE)</f>
        <v>#N/A</v>
      </c>
    </row>
    <row r="30" spans="1:5">
      <c r="A30" s="114">
        <v>23</v>
      </c>
      <c r="B30" s="110" t="s">
        <v>12</v>
      </c>
      <c r="C30" s="105" t="e">
        <f>VLOOKUP(Table257519913140106110151155170178204303308[[#This Row],[PEG]],Table1016[#All],2,FALSE)</f>
        <v>#N/A</v>
      </c>
      <c r="D30" s="113"/>
      <c r="E30" s="122" t="e">
        <f>VLOOKUP(Table257519913140106110151155170178204303308[[#This Row],[PEG]],Table1016[#All],3,FALSE)</f>
        <v>#N/A</v>
      </c>
    </row>
    <row r="31" spans="1:5">
      <c r="A31" s="114">
        <v>24</v>
      </c>
      <c r="B31" s="110" t="s">
        <v>115</v>
      </c>
      <c r="C31" s="105" t="e">
        <f>VLOOKUP(Table257519913140106110151155170178204303308[[#This Row],[PEG]],Table1016[#All],2,FALSE)</f>
        <v>#N/A</v>
      </c>
      <c r="D31" s="113"/>
      <c r="E31" s="122" t="e">
        <f>VLOOKUP(Table257519913140106110151155170178204303308[[#This Row],[PEG]],Table1016[#All],3,FALSE)</f>
        <v>#N/A</v>
      </c>
    </row>
    <row r="32" spans="1:5">
      <c r="A32" s="114">
        <v>25</v>
      </c>
      <c r="B32" s="110" t="s">
        <v>115</v>
      </c>
      <c r="C32" s="105" t="e">
        <f>VLOOKUP(Table257519913140106110151155170178204303308[[#This Row],[PEG]],Table1016[#All],2,FALSE)</f>
        <v>#N/A</v>
      </c>
      <c r="D32" s="113"/>
      <c r="E32" s="122" t="e">
        <f>VLOOKUP(Table257519913140106110151155170178204303308[[#This Row],[PEG]],Table1016[#All],3,FALSE)</f>
        <v>#N/A</v>
      </c>
    </row>
    <row r="33" spans="1:5">
      <c r="A33" s="114">
        <v>26</v>
      </c>
      <c r="B33" s="110" t="s">
        <v>124</v>
      </c>
      <c r="C33" s="105" t="e">
        <f>VLOOKUP(Table257519913140106110151155170178204303308[[#This Row],[PEG]],Table1016[#All],2,FALSE)</f>
        <v>#N/A</v>
      </c>
      <c r="D33" s="113"/>
      <c r="E33" s="122" t="e">
        <f>VLOOKUP(Table257519913140106110151155170178204303308[[#This Row],[PEG]],Table1016[#All],3,FALSE)</f>
        <v>#N/A</v>
      </c>
    </row>
    <row r="34" spans="1:5">
      <c r="A34" s="114">
        <v>27</v>
      </c>
      <c r="B34" s="110" t="s">
        <v>115</v>
      </c>
      <c r="C34" s="105" t="e">
        <f>VLOOKUP(Table257519913140106110151155170178204303308[[#This Row],[PEG]],Table1016[#All],2,FALSE)</f>
        <v>#N/A</v>
      </c>
      <c r="D34" s="113"/>
      <c r="E34" s="122" t="e">
        <f>VLOOKUP(Table257519913140106110151155170178204303308[[#This Row],[PEG]],Table1016[#All],3,FALSE)</f>
        <v>#N/A</v>
      </c>
    </row>
    <row r="35" spans="1:5">
      <c r="A35" s="114">
        <v>28</v>
      </c>
      <c r="B35" s="110" t="s">
        <v>124</v>
      </c>
      <c r="C35" s="105" t="e">
        <f>VLOOKUP(Table257519913140106110151155170178204303308[[#This Row],[PEG]],Table1016[#All],2,FALSE)</f>
        <v>#N/A</v>
      </c>
      <c r="D35" s="113"/>
      <c r="E35" s="122" t="e">
        <f>VLOOKUP(Table257519913140106110151155170178204303308[[#This Row],[PEG]],Table1016[#All],3,FALSE)</f>
        <v>#N/A</v>
      </c>
    </row>
    <row r="36" spans="1:5">
      <c r="A36" s="114">
        <v>29</v>
      </c>
      <c r="B36" s="110" t="s">
        <v>115</v>
      </c>
      <c r="C36" s="105" t="e">
        <f>VLOOKUP(Table257519913140106110151155170178204303308[[#This Row],[PEG]],Table1016[#All],2,FALSE)</f>
        <v>#N/A</v>
      </c>
      <c r="D36" s="113"/>
      <c r="E36" s="122" t="e">
        <f>VLOOKUP(Table257519913140106110151155170178204303308[[#This Row],[PEG]],Table1016[#All],3,FALSE)</f>
        <v>#N/A</v>
      </c>
    </row>
    <row r="37" spans="1:5">
      <c r="A37" s="114">
        <v>30</v>
      </c>
      <c r="B37" s="110" t="s">
        <v>12</v>
      </c>
      <c r="C37" s="105" t="e">
        <f>VLOOKUP(Table257519913140106110151155170178204303308[[#This Row],[PEG]],Table1016[#All],2,FALSE)</f>
        <v>#N/A</v>
      </c>
      <c r="D37" s="113"/>
      <c r="E37" s="122" t="e">
        <f>VLOOKUP(Table257519913140106110151155170178204303308[[#This Row],[PEG]],Table1016[#All],3,FALSE)</f>
        <v>#N/A</v>
      </c>
    </row>
    <row r="38" spans="1:5">
      <c r="A38" s="114">
        <v>31</v>
      </c>
      <c r="B38" s="110" t="s">
        <v>12</v>
      </c>
      <c r="C38" s="105" t="e">
        <f>VLOOKUP(Table257519913140106110151155170178204303308[[#This Row],[PEG]],Table1016[#All],2,FALSE)</f>
        <v>#N/A</v>
      </c>
      <c r="D38" s="113"/>
      <c r="E38" s="122" t="e">
        <f>VLOOKUP(Table257519913140106110151155170178204303308[[#This Row],[PEG]],Table1016[#All],3,FALSE)</f>
        <v>#N/A</v>
      </c>
    </row>
    <row r="39" spans="1:5">
      <c r="A39" s="114">
        <v>32</v>
      </c>
      <c r="B39" s="110" t="s">
        <v>12</v>
      </c>
      <c r="C39" s="105" t="e">
        <f>VLOOKUP(Table257519913140106110151155170178204303308[[#This Row],[PEG]],Table1016[#All],2,FALSE)</f>
        <v>#N/A</v>
      </c>
      <c r="D39" s="113"/>
      <c r="E39" s="122" t="e">
        <f>VLOOKUP(Table257519913140106110151155170178204303308[[#This Row],[PEG]],Table1016[#All],3,FALSE)</f>
        <v>#N/A</v>
      </c>
    </row>
    <row r="40" spans="1:5">
      <c r="A40" s="114">
        <v>33</v>
      </c>
      <c r="B40" s="110" t="s">
        <v>12</v>
      </c>
      <c r="C40" s="105" t="e">
        <f>VLOOKUP(Table257519913140106110151155170178204303308[[#This Row],[PEG]],Table1016[#All],2,FALSE)</f>
        <v>#N/A</v>
      </c>
      <c r="D40" s="113"/>
      <c r="E40" s="122" t="e">
        <f>VLOOKUP(Table257519913140106110151155170178204303308[[#This Row],[PEG]],Table1016[#All],3,FALSE)</f>
        <v>#N/A</v>
      </c>
    </row>
    <row r="41" spans="1:5">
      <c r="A41" s="114">
        <v>34</v>
      </c>
      <c r="B41" s="110" t="s">
        <v>115</v>
      </c>
      <c r="C41" s="105" t="e">
        <f>VLOOKUP(Table257519913140106110151155170178204303308[[#This Row],[PEG]],Table1016[#All],2,FALSE)</f>
        <v>#N/A</v>
      </c>
      <c r="D41" s="113"/>
      <c r="E41" s="122" t="e">
        <f>VLOOKUP(Table257519913140106110151155170178204303308[[#This Row],[PEG]],Table1016[#All],3,FALSE)</f>
        <v>#N/A</v>
      </c>
    </row>
    <row r="42" spans="1:5">
      <c r="A42" s="114">
        <v>35</v>
      </c>
      <c r="B42" s="110" t="s">
        <v>12</v>
      </c>
      <c r="C42" s="105" t="e">
        <f>VLOOKUP(Table257519913140106110151155170178204303308[[#This Row],[PEG]],Table1016[#All],2,FALSE)</f>
        <v>#N/A</v>
      </c>
      <c r="D42" s="111"/>
      <c r="E42" s="122" t="e">
        <f>VLOOKUP(Table257519913140106110151155170178204303308[[#This Row],[PEG]],Table1016[#All],3,FALSE)</f>
        <v>#N/A</v>
      </c>
    </row>
    <row r="43" spans="1:5">
      <c r="A43" s="114">
        <v>36</v>
      </c>
      <c r="B43" s="110" t="s">
        <v>115</v>
      </c>
      <c r="C43" s="105" t="e">
        <f>VLOOKUP(Table257519913140106110151155170178204303308[[#This Row],[PEG]],Table1016[#All],2,FALSE)</f>
        <v>#N/A</v>
      </c>
      <c r="D43" s="111"/>
      <c r="E43" s="122" t="e">
        <f>VLOOKUP(Table257519913140106110151155170178204303308[[#This Row],[PEG]],Table1016[#All],3,FALSE)</f>
        <v>#N/A</v>
      </c>
    </row>
    <row r="44" spans="1:5">
      <c r="A44" s="114">
        <v>37</v>
      </c>
      <c r="B44" s="110" t="s">
        <v>13</v>
      </c>
      <c r="C44" s="17" t="s">
        <v>13</v>
      </c>
      <c r="D44" s="111"/>
      <c r="E44" s="31"/>
    </row>
  </sheetData>
  <mergeCells count="1">
    <mergeCell ref="A1:B1"/>
  </mergeCells>
  <conditionalFormatting sqref="B8:B18">
    <cfRule type="containsText" dxfId="198" priority="1" operator="containsText" text="Hear">
      <formula>NOT(ISERROR(SEARCH("Hear",B8)))</formula>
    </cfRule>
  </conditionalFormatting>
  <conditionalFormatting sqref="B30">
    <cfRule type="containsText" dxfId="197" priority="4" operator="containsText" text="Hear">
      <formula>NOT(ISERROR(SEARCH("Hear",B30)))</formula>
    </cfRule>
  </conditionalFormatting>
  <conditionalFormatting sqref="B43:B44">
    <cfRule type="containsText" dxfId="196" priority="8" operator="containsText" text="Hear">
      <formula>NOT(ISERROR(SEARCH("Hear",B43)))</formula>
    </cfRule>
  </conditionalFormatting>
  <conditionalFormatting sqref="E44">
    <cfRule type="containsText" dxfId="195" priority="6" operator="containsText" text="WEB SERVICE">
      <formula>NOT(ISERROR(SEARCH("WEB SERVICE",E44)))</formula>
    </cfRule>
    <cfRule type="containsText" dxfId="194" priority="7" operator="containsText" text="DB">
      <formula>NOT(ISERROR(SEARCH("DB",E44)))</formula>
    </cfRule>
  </conditionalFormatting>
  <conditionalFormatting sqref="C44">
    <cfRule type="expression" dxfId="193" priority="9">
      <formula>$B44="HANGUP"</formula>
    </cfRule>
    <cfRule type="expression" dxfId="192" priority="9">
      <formula>$B44="Dial"</formula>
    </cfRule>
  </conditionalFormatting>
  <conditionalFormatting sqref="C44">
    <cfRule type="expression" dxfId="191" priority="3">
      <formula>$B44="Speak"</formula>
    </cfRule>
  </conditionalFormatting>
  <conditionalFormatting sqref="B36:B38 B40:B41">
    <cfRule type="containsText" dxfId="190" priority="2" operator="containsText" text="Hear">
      <formula>NOT(ISERROR(SEARCH("Hear",B36)))</formula>
    </cfRule>
  </conditionalFormatting>
  <conditionalFormatting sqref="B19:B29 B31:B35 B42">
    <cfRule type="containsText" dxfId="189" priority="5" operator="containsText" text="Hear">
      <formula>NOT(ISERROR(SEARCH("Hear",B19)))</formula>
    </cfRule>
  </conditionalFormatting>
  <hyperlinks>
    <hyperlink ref="A1" location="'Test Case Overview'!A1" display="Return to Test Case Overview" xr:uid="{00000000-0004-0000-C7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0" id="{8E80CA1D-0F13-4458-9876-6EE6067EB396}">
            <xm:f>'TC1'!$B8="HANGUP"</xm:f>
            <x14:dxf>
              <font>
                <b/>
                <i val="0"/>
              </font>
            </x14:dxf>
          </x14:cfRule>
          <x14:cfRule type="expression" priority="15" id="{71CD262C-C744-400C-89B2-CE9DA006EB2F}">
            <xm:f>'TC1'!$B8="Dial"</xm:f>
            <x14:dxf>
              <font>
                <b/>
                <i val="0"/>
                <color rgb="FFFF0000"/>
              </font>
            </x14:dxf>
          </x14:cfRule>
          <xm:sqref>C8</xm:sqref>
        </x14:conditionalFormatting>
        <x14:conditionalFormatting xmlns:xm="http://schemas.microsoft.com/office/excel/2006/main">
          <x14:cfRule type="expression" priority="14" id="{50CD8504-F168-4B9F-AC47-F0AE5DB2FFDA}">
            <xm:f>'TC1'!$B8="Speak"</xm:f>
            <x14:dxf>
              <font>
                <b/>
                <i val="0"/>
                <color rgb="FFFF0000"/>
              </font>
            </x14:dxf>
          </x14:cfRule>
          <xm:sqref>C8</xm:sqref>
        </x14:conditionalFormatting>
        <x14:conditionalFormatting xmlns:xm="http://schemas.microsoft.com/office/excel/2006/main">
          <x14:cfRule type="containsText" priority="12" operator="containsText" text="DB" id="{56C2D040-7582-48E4-B187-956D59827473}">
            <xm:f>NOT(ISERROR(SEARCH("DB",'TC1'!E10)))</xm:f>
            <x14:dxf>
              <font>
                <color rgb="FF006100"/>
              </font>
              <fill>
                <patternFill>
                  <bgColor rgb="FFC6EFCE"/>
                </patternFill>
              </fill>
            </x14:dxf>
          </x14:cfRule>
          <x14:cfRule type="containsText" priority="13" operator="containsText" text="WEB SERVICE" id="{B6C67197-A099-4E09-9245-DC69B4344775}">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containsText" priority="16" operator="containsText" text="Hear" id="{7100F689-37AF-4ED7-954A-B047A30EB012}">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462" id="{8E80CA1D-0F13-4458-9876-6EE6067EB396}">
            <xm:f>'TC1'!$B14="HANGUP"</xm:f>
            <x14:dxf>
              <font>
                <b/>
                <i val="0"/>
              </font>
            </x14:dxf>
          </x14:cfRule>
          <x14:cfRule type="expression" priority="3463" id="{71CD262C-C744-400C-89B2-CE9DA006EB2F}">
            <xm:f>'TC1'!$B14="Dial"</xm:f>
            <x14:dxf>
              <font>
                <b/>
                <i val="0"/>
                <color rgb="FFFF0000"/>
              </font>
            </x14:dxf>
          </x14:cfRule>
          <xm:sqref>C34:C43</xm:sqref>
        </x14:conditionalFormatting>
        <x14:conditionalFormatting xmlns:xm="http://schemas.microsoft.com/office/excel/2006/main">
          <x14:cfRule type="expression" priority="3464" id="{8E80CA1D-0F13-4458-9876-6EE6067EB396}">
            <xm:f>'TC1'!#REF!="HANGUP"</xm:f>
            <x14:dxf>
              <font>
                <b/>
                <i val="0"/>
              </font>
            </x14:dxf>
          </x14:cfRule>
          <x14:cfRule type="expression" priority="3465" id="{71CD262C-C744-400C-89B2-CE9DA006EB2F}">
            <xm:f>'TC1'!#REF!="Dial"</xm:f>
            <x14:dxf>
              <font>
                <b/>
                <i val="0"/>
                <color rgb="FFFF0000"/>
              </font>
            </x14:dxf>
          </x14:cfRule>
          <xm:sqref>C13:C33</xm:sqref>
        </x14:conditionalFormatting>
        <x14:conditionalFormatting xmlns:xm="http://schemas.microsoft.com/office/excel/2006/main">
          <x14:cfRule type="expression" priority="3469" id="{50CD8504-F168-4B9F-AC47-F0AE5DB2FFDA}">
            <xm:f>'TC1'!$B14="Speak"</xm:f>
            <x14:dxf>
              <font>
                <b/>
                <i val="0"/>
                <color rgb="FFFF0000"/>
              </font>
            </x14:dxf>
          </x14:cfRule>
          <xm:sqref>C34:C43</xm:sqref>
        </x14:conditionalFormatting>
        <x14:conditionalFormatting xmlns:xm="http://schemas.microsoft.com/office/excel/2006/main">
          <x14:cfRule type="expression" priority="3470" id="{50CD8504-F168-4B9F-AC47-F0AE5DB2FFDA}">
            <xm:f>'TC1'!#REF!="Speak"</xm:f>
            <x14:dxf>
              <font>
                <b/>
                <i val="0"/>
                <color rgb="FFFF0000"/>
              </font>
            </x14:dxf>
          </x14:cfRule>
          <xm:sqref>C13:C33</xm:sqref>
        </x14:conditionalFormatting>
        <x14:conditionalFormatting xmlns:xm="http://schemas.microsoft.com/office/excel/2006/main">
          <x14:cfRule type="containsText" priority="3474" operator="containsText" text="DB" id="{56C2D040-7582-48E4-B187-956D59827473}">
            <xm:f>NOT(ISERROR(SEARCH("DB",'TC1'!E14)))</xm:f>
            <x14:dxf>
              <font>
                <color rgb="FF006100"/>
              </font>
              <fill>
                <patternFill>
                  <bgColor rgb="FFC6EFCE"/>
                </patternFill>
              </fill>
            </x14:dxf>
          </x14:cfRule>
          <x14:cfRule type="containsText" priority="3475" operator="containsText" text="WEB SERVICE" id="{B6C67197-A099-4E09-9245-DC69B4344775}">
            <xm:f>NOT(ISERROR(SEARCH("WEB SERVICE",'TC1'!E14)))</xm:f>
            <x14:dxf>
              <font>
                <color rgb="FF9C0006"/>
              </font>
              <fill>
                <patternFill>
                  <bgColor rgb="FFFFC7CE"/>
                </patternFill>
              </fill>
            </x14:dxf>
          </x14:cfRule>
          <xm:sqref>E34:E43</xm:sqref>
        </x14:conditionalFormatting>
        <x14:conditionalFormatting xmlns:xm="http://schemas.microsoft.com/office/excel/2006/main">
          <x14:cfRule type="containsText" priority="3476" operator="containsText" text="DB" id="{56C2D040-7582-48E4-B187-956D59827473}">
            <xm:f>NOT(ISERROR(SEARCH("DB",'TC1'!#REF!)))</xm:f>
            <x14:dxf>
              <font>
                <color rgb="FF006100"/>
              </font>
              <fill>
                <patternFill>
                  <bgColor rgb="FFC6EFCE"/>
                </patternFill>
              </fill>
            </x14:dxf>
          </x14:cfRule>
          <x14:cfRule type="containsText" priority="3477" operator="containsText" text="WEB SERVICE" id="{B6C67197-A099-4E09-9245-DC69B4344775}">
            <xm:f>NOT(ISERROR(SEARCH("WEB SERVICE",'TC1'!#REF!)))</xm:f>
            <x14:dxf>
              <font>
                <color rgb="FF9C0006"/>
              </font>
              <fill>
                <patternFill>
                  <bgColor rgb="FFFFC7CE"/>
                </patternFill>
              </fill>
            </x14:dxf>
          </x14:cfRule>
          <xm:sqref>E13:E33</xm:sqref>
        </x14:conditionalFormatting>
        <x14:conditionalFormatting xmlns:xm="http://schemas.microsoft.com/office/excel/2006/main">
          <x14:cfRule type="expression" priority="4656" id="{8E80CA1D-0F13-4458-9876-6EE6067EB396}">
            <xm:f>'TC1'!$B10="HANGUP"</xm:f>
            <x14:dxf>
              <font>
                <b/>
                <i val="0"/>
              </font>
            </x14:dxf>
          </x14:cfRule>
          <x14:cfRule type="expression" priority="4657" id="{71CD262C-C744-400C-89B2-CE9DA006EB2F}">
            <xm:f>'TC1'!$B10="Dial"</xm:f>
            <x14:dxf>
              <font>
                <b/>
                <i val="0"/>
                <color rgb="FFFF0000"/>
              </font>
            </x14:dxf>
          </x14:cfRule>
          <xm:sqref>C9:C12</xm:sqref>
        </x14:conditionalFormatting>
        <x14:conditionalFormatting xmlns:xm="http://schemas.microsoft.com/office/excel/2006/main">
          <x14:cfRule type="expression" priority="4659" id="{50CD8504-F168-4B9F-AC47-F0AE5DB2FFDA}">
            <xm:f>'TC1'!$B10="Speak"</xm:f>
            <x14:dxf>
              <font>
                <b/>
                <i val="0"/>
                <color rgb="FFFF0000"/>
              </font>
            </x14:dxf>
          </x14:cfRule>
          <xm:sqref>C9:C12</xm:sqref>
        </x14:conditionalFormatting>
        <x14:conditionalFormatting xmlns:xm="http://schemas.microsoft.com/office/excel/2006/main">
          <x14:cfRule type="containsText" priority="6675" operator="containsText" text="Hear" id="{0CEE8641-A46B-4D8F-BA35-6E647BC8D6CF}">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800-000000000000}">
  <sheetPr codeName="Sheet202"/>
  <dimension ref="A1:E44"/>
  <sheetViews>
    <sheetView zoomScaleNormal="100" workbookViewId="0">
      <selection sqref="A1:E4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TC200</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VLOOKUP(Table257519913140106110151155170178204303310[[#This Row],[PEG]],Table1016[#All],2,FALSE)</f>
        <v>#N/A</v>
      </c>
      <c r="D9" s="125"/>
      <c r="E9" s="122" t="e">
        <f>VLOOKUP(Table257519913140106110151155170178204303310[[#This Row],[PEG]],Table1016[#All],3,FALSE)</f>
        <v>#N/A</v>
      </c>
    </row>
    <row r="10" spans="1:5">
      <c r="A10" s="114">
        <v>3</v>
      </c>
      <c r="B10" s="110" t="s">
        <v>115</v>
      </c>
      <c r="C10" s="105" t="e">
        <f>VLOOKUP(Table257519913140106110151155170178204303310[[#This Row],[PEG]],Table1016[#All],2,FALSE)</f>
        <v>#N/A</v>
      </c>
      <c r="D10" s="125"/>
      <c r="E10" s="122" t="e">
        <f>VLOOKUP(Table257519913140106110151155170178204303310[[#This Row],[PEG]],Table1016[#All],3,FALSE)</f>
        <v>#N/A</v>
      </c>
    </row>
    <row r="11" spans="1:5">
      <c r="A11" s="114">
        <v>4</v>
      </c>
      <c r="B11" s="110" t="s">
        <v>115</v>
      </c>
      <c r="C11" s="105" t="e">
        <f>VLOOKUP(Table257519913140106110151155170178204303310[[#This Row],[PEG]],Table1016[#All],2,FALSE)</f>
        <v>#N/A</v>
      </c>
      <c r="D11" s="125"/>
      <c r="E11" s="122" t="e">
        <f>VLOOKUP(Table257519913140106110151155170178204303310[[#This Row],[PEG]],Table1016[#All],3,FALSE)</f>
        <v>#N/A</v>
      </c>
    </row>
    <row r="12" spans="1:5">
      <c r="A12" s="114">
        <v>5</v>
      </c>
      <c r="B12" s="110" t="s">
        <v>114</v>
      </c>
      <c r="C12" s="105" t="e">
        <f>VLOOKUP(Table257519913140106110151155170178204303310[[#This Row],[PEG]],Table1016[#All],2,FALSE)</f>
        <v>#N/A</v>
      </c>
      <c r="D12" s="125"/>
      <c r="E12" s="122" t="e">
        <f>VLOOKUP(Table257519913140106110151155170178204303310[[#This Row],[PEG]],Table1016[#All],3,FALSE)</f>
        <v>#N/A</v>
      </c>
    </row>
    <row r="13" spans="1:5">
      <c r="A13" s="114">
        <v>6</v>
      </c>
      <c r="B13" s="110" t="s">
        <v>115</v>
      </c>
      <c r="C13" s="105" t="e">
        <f>VLOOKUP(Table257519913140106110151155170178204303310[[#This Row],[PEG]],Table1016[#All],2,FALSE)</f>
        <v>#N/A</v>
      </c>
      <c r="D13" s="125"/>
      <c r="E13" s="122" t="e">
        <f>VLOOKUP(Table257519913140106110151155170178204303310[[#This Row],[PEG]],Table1016[#All],3,FALSE)</f>
        <v>#N/A</v>
      </c>
    </row>
    <row r="14" spans="1:5">
      <c r="A14" s="114">
        <v>7</v>
      </c>
      <c r="B14" s="110" t="s">
        <v>114</v>
      </c>
      <c r="C14" s="105" t="e">
        <f>VLOOKUP(Table257519913140106110151155170178204303310[[#This Row],[PEG]],Table1016[#All],2,FALSE)</f>
        <v>#N/A</v>
      </c>
      <c r="D14" s="125"/>
      <c r="E14" s="122" t="e">
        <f>VLOOKUP(Table257519913140106110151155170178204303310[[#This Row],[PEG]],Table1016[#All],3,FALSE)</f>
        <v>#N/A</v>
      </c>
    </row>
    <row r="15" spans="1:5">
      <c r="A15" s="114">
        <v>8</v>
      </c>
      <c r="B15" s="110" t="s">
        <v>115</v>
      </c>
      <c r="C15" s="105" t="e">
        <f>VLOOKUP(Table257519913140106110151155170178204303310[[#This Row],[PEG]],Table1016[#All],2,FALSE)</f>
        <v>#N/A</v>
      </c>
      <c r="D15" s="112"/>
      <c r="E15" s="122" t="e">
        <f>VLOOKUP(Table257519913140106110151155170178204303310[[#This Row],[PEG]],Table1016[#All],3,FALSE)</f>
        <v>#N/A</v>
      </c>
    </row>
    <row r="16" spans="1:5">
      <c r="A16" s="114">
        <v>9</v>
      </c>
      <c r="B16" s="110" t="s">
        <v>12</v>
      </c>
      <c r="C16" s="105" t="e">
        <f>VLOOKUP(Table257519913140106110151155170178204303310[[#This Row],[PEG]],Table1016[#All],2,FALSE)</f>
        <v>#N/A</v>
      </c>
      <c r="D16" s="112"/>
      <c r="E16" s="122" t="e">
        <f>VLOOKUP(Table257519913140106110151155170178204303310[[#This Row],[PEG]],Table1016[#All],3,FALSE)</f>
        <v>#N/A</v>
      </c>
    </row>
    <row r="17" spans="1:5">
      <c r="A17" s="114">
        <v>10</v>
      </c>
      <c r="B17" s="110" t="s">
        <v>12</v>
      </c>
      <c r="C17" s="105" t="e">
        <f>VLOOKUP(Table257519913140106110151155170178204303310[[#This Row],[PEG]],Table1016[#All],2,FALSE)</f>
        <v>#N/A</v>
      </c>
      <c r="D17" s="113"/>
      <c r="E17" s="122" t="e">
        <f>VLOOKUP(Table257519913140106110151155170178204303310[[#This Row],[PEG]],Table1016[#All],3,FALSE)</f>
        <v>#N/A</v>
      </c>
    </row>
    <row r="18" spans="1:5">
      <c r="A18" s="114">
        <v>11</v>
      </c>
      <c r="B18" s="110" t="s">
        <v>115</v>
      </c>
      <c r="C18" s="105" t="e">
        <f>VLOOKUP(Table257519913140106110151155170178204303310[[#This Row],[PEG]],Table1016[#All],2,FALSE)</f>
        <v>#N/A</v>
      </c>
      <c r="D18" s="113"/>
      <c r="E18" s="122" t="e">
        <f>VLOOKUP(Table257519913140106110151155170178204303310[[#This Row],[PEG]],Table1016[#All],3,FALSE)</f>
        <v>#N/A</v>
      </c>
    </row>
    <row r="19" spans="1:5">
      <c r="A19" s="114">
        <v>12</v>
      </c>
      <c r="B19" s="110" t="s">
        <v>115</v>
      </c>
      <c r="C19" s="105" t="e">
        <f>VLOOKUP(Table257519913140106110151155170178204303310[[#This Row],[PEG]],Table1016[#All],2,FALSE)</f>
        <v>#N/A</v>
      </c>
      <c r="D19" s="113"/>
      <c r="E19" s="122" t="e">
        <f>VLOOKUP(Table257519913140106110151155170178204303310[[#This Row],[PEG]],Table1016[#All],3,FALSE)</f>
        <v>#N/A</v>
      </c>
    </row>
    <row r="20" spans="1:5">
      <c r="A20" s="114">
        <v>13</v>
      </c>
      <c r="B20" s="110" t="s">
        <v>114</v>
      </c>
      <c r="C20" s="105" t="e">
        <f>VLOOKUP(Table257519913140106110151155170178204303310[[#This Row],[PEG]],Table1016[#All],2,FALSE)</f>
        <v>#N/A</v>
      </c>
      <c r="D20" s="113"/>
      <c r="E20" s="122" t="e">
        <f>VLOOKUP(Table257519913140106110151155170178204303310[[#This Row],[PEG]],Table1016[#All],3,FALSE)</f>
        <v>#N/A</v>
      </c>
    </row>
    <row r="21" spans="1:5">
      <c r="A21" s="114">
        <v>14</v>
      </c>
      <c r="B21" s="110" t="s">
        <v>12</v>
      </c>
      <c r="C21" s="105" t="e">
        <f>VLOOKUP(Table257519913140106110151155170178204303310[[#This Row],[PEG]],Table1016[#All],2,FALSE)</f>
        <v>#N/A</v>
      </c>
      <c r="D21" s="113"/>
      <c r="E21" s="122" t="e">
        <f>VLOOKUP(Table257519913140106110151155170178204303310[[#This Row],[PEG]],Table1016[#All],3,FALSE)</f>
        <v>#N/A</v>
      </c>
    </row>
    <row r="22" spans="1:5">
      <c r="A22" s="114">
        <v>15</v>
      </c>
      <c r="B22" s="110" t="s">
        <v>12</v>
      </c>
      <c r="C22" s="105" t="e">
        <f>VLOOKUP(Table257519913140106110151155170178204303310[[#This Row],[PEG]],Table1016[#All],2,FALSE)</f>
        <v>#N/A</v>
      </c>
      <c r="D22" s="113"/>
      <c r="E22" s="122" t="e">
        <f>VLOOKUP(Table257519913140106110151155170178204303310[[#This Row],[PEG]],Table1016[#All],3,FALSE)</f>
        <v>#N/A</v>
      </c>
    </row>
    <row r="23" spans="1:5">
      <c r="A23" s="114">
        <v>16</v>
      </c>
      <c r="B23" s="110" t="s">
        <v>115</v>
      </c>
      <c r="C23" s="105" t="e">
        <f>VLOOKUP(Table257519913140106110151155170178204303310[[#This Row],[PEG]],Table1016[#All],2,FALSE)</f>
        <v>#N/A</v>
      </c>
      <c r="D23" s="113"/>
      <c r="E23" s="122" t="e">
        <f>VLOOKUP(Table257519913140106110151155170178204303310[[#This Row],[PEG]],Table1016[#All],3,FALSE)</f>
        <v>#N/A</v>
      </c>
    </row>
    <row r="24" spans="1:5">
      <c r="A24" s="114">
        <v>17</v>
      </c>
      <c r="B24" s="110" t="s">
        <v>114</v>
      </c>
      <c r="C24" s="105" t="e">
        <f>VLOOKUP(Table257519913140106110151155170178204303310[[#This Row],[PEG]],Table1016[#All],2,FALSE)</f>
        <v>#N/A</v>
      </c>
      <c r="D24" s="113"/>
      <c r="E24" s="122" t="e">
        <f>VLOOKUP(Table257519913140106110151155170178204303310[[#This Row],[PEG]],Table1016[#All],3,FALSE)</f>
        <v>#N/A</v>
      </c>
    </row>
    <row r="25" spans="1:5">
      <c r="A25" s="114">
        <v>18</v>
      </c>
      <c r="B25" s="110" t="s">
        <v>12</v>
      </c>
      <c r="C25" s="105" t="e">
        <f>VLOOKUP(Table257519913140106110151155170178204303310[[#This Row],[PEG]],Table1016[#All],2,FALSE)</f>
        <v>#N/A</v>
      </c>
      <c r="D25" s="113"/>
      <c r="E25" s="122" t="e">
        <f>VLOOKUP(Table257519913140106110151155170178204303310[[#This Row],[PEG]],Table1016[#All],3,FALSE)</f>
        <v>#N/A</v>
      </c>
    </row>
    <row r="26" spans="1:5">
      <c r="A26" s="114">
        <v>19</v>
      </c>
      <c r="B26" s="110" t="s">
        <v>12</v>
      </c>
      <c r="C26" s="105" t="e">
        <f>VLOOKUP(Table257519913140106110151155170178204303310[[#This Row],[PEG]],Table1016[#All],2,FALSE)</f>
        <v>#N/A</v>
      </c>
      <c r="D26" s="113"/>
      <c r="E26" s="122" t="e">
        <f>VLOOKUP(Table257519913140106110151155170178204303310[[#This Row],[PEG]],Table1016[#All],3,FALSE)</f>
        <v>#N/A</v>
      </c>
    </row>
    <row r="27" spans="1:5">
      <c r="A27" s="114">
        <v>20</v>
      </c>
      <c r="B27" s="110" t="s">
        <v>115</v>
      </c>
      <c r="C27" s="105" t="e">
        <f>VLOOKUP(Table257519913140106110151155170178204303310[[#This Row],[PEG]],Table1016[#All],2,FALSE)</f>
        <v>#N/A</v>
      </c>
      <c r="D27" s="113"/>
      <c r="E27" s="122" t="e">
        <f>VLOOKUP(Table257519913140106110151155170178204303310[[#This Row],[PEG]],Table1016[#All],3,FALSE)</f>
        <v>#N/A</v>
      </c>
    </row>
    <row r="28" spans="1:5">
      <c r="A28" s="114">
        <v>21</v>
      </c>
      <c r="B28" s="110" t="s">
        <v>114</v>
      </c>
      <c r="C28" s="105" t="e">
        <f>VLOOKUP(Table257519913140106110151155170178204303310[[#This Row],[PEG]],Table1016[#All],2,FALSE)</f>
        <v>#N/A</v>
      </c>
      <c r="D28" s="113"/>
      <c r="E28" s="122" t="e">
        <f>VLOOKUP(Table257519913140106110151155170178204303310[[#This Row],[PEG]],Table1016[#All],3,FALSE)</f>
        <v>#N/A</v>
      </c>
    </row>
    <row r="29" spans="1:5">
      <c r="A29" s="114">
        <v>22</v>
      </c>
      <c r="B29" s="110" t="s">
        <v>12</v>
      </c>
      <c r="C29" s="105" t="e">
        <f>VLOOKUP(Table257519913140106110151155170178204303310[[#This Row],[PEG]],Table1016[#All],2,FALSE)</f>
        <v>#N/A</v>
      </c>
      <c r="D29" s="113"/>
      <c r="E29" s="122" t="e">
        <f>VLOOKUP(Table257519913140106110151155170178204303310[[#This Row],[PEG]],Table1016[#All],3,FALSE)</f>
        <v>#N/A</v>
      </c>
    </row>
    <row r="30" spans="1:5">
      <c r="A30" s="114">
        <v>23</v>
      </c>
      <c r="B30" s="110" t="s">
        <v>12</v>
      </c>
      <c r="C30" s="105" t="e">
        <f>VLOOKUP(Table257519913140106110151155170178204303310[[#This Row],[PEG]],Table1016[#All],2,FALSE)</f>
        <v>#N/A</v>
      </c>
      <c r="D30" s="113"/>
      <c r="E30" s="122" t="e">
        <f>VLOOKUP(Table257519913140106110151155170178204303310[[#This Row],[PEG]],Table1016[#All],3,FALSE)</f>
        <v>#N/A</v>
      </c>
    </row>
    <row r="31" spans="1:5">
      <c r="A31" s="114">
        <v>24</v>
      </c>
      <c r="B31" s="110" t="s">
        <v>115</v>
      </c>
      <c r="C31" s="105" t="e">
        <f>VLOOKUP(Table257519913140106110151155170178204303310[[#This Row],[PEG]],Table1016[#All],2,FALSE)</f>
        <v>#N/A</v>
      </c>
      <c r="D31" s="113"/>
      <c r="E31" s="122" t="e">
        <f>VLOOKUP(Table257519913140106110151155170178204303310[[#This Row],[PEG]],Table1016[#All],3,FALSE)</f>
        <v>#N/A</v>
      </c>
    </row>
    <row r="32" spans="1:5">
      <c r="A32" s="114">
        <v>25</v>
      </c>
      <c r="B32" s="110" t="s">
        <v>115</v>
      </c>
      <c r="C32" s="105" t="e">
        <f>VLOOKUP(Table257519913140106110151155170178204303310[[#This Row],[PEG]],Table1016[#All],2,FALSE)</f>
        <v>#N/A</v>
      </c>
      <c r="D32" s="113"/>
      <c r="E32" s="122" t="e">
        <f>VLOOKUP(Table257519913140106110151155170178204303310[[#This Row],[PEG]],Table1016[#All],3,FALSE)</f>
        <v>#N/A</v>
      </c>
    </row>
    <row r="33" spans="1:5">
      <c r="A33" s="114">
        <v>26</v>
      </c>
      <c r="B33" s="110" t="s">
        <v>124</v>
      </c>
      <c r="C33" s="105" t="e">
        <f>VLOOKUP(Table257519913140106110151155170178204303310[[#This Row],[PEG]],Table1016[#All],2,FALSE)</f>
        <v>#N/A</v>
      </c>
      <c r="D33" s="113"/>
      <c r="E33" s="122" t="e">
        <f>VLOOKUP(Table257519913140106110151155170178204303310[[#This Row],[PEG]],Table1016[#All],3,FALSE)</f>
        <v>#N/A</v>
      </c>
    </row>
    <row r="34" spans="1:5">
      <c r="A34" s="114">
        <v>27</v>
      </c>
      <c r="B34" s="110" t="s">
        <v>115</v>
      </c>
      <c r="C34" s="105" t="e">
        <f>VLOOKUP(Table257519913140106110151155170178204303310[[#This Row],[PEG]],Table1016[#All],2,FALSE)</f>
        <v>#N/A</v>
      </c>
      <c r="D34" s="113"/>
      <c r="E34" s="122" t="e">
        <f>VLOOKUP(Table257519913140106110151155170178204303310[[#This Row],[PEG]],Table1016[#All],3,FALSE)</f>
        <v>#N/A</v>
      </c>
    </row>
    <row r="35" spans="1:5">
      <c r="A35" s="114">
        <v>28</v>
      </c>
      <c r="B35" s="110" t="s">
        <v>124</v>
      </c>
      <c r="C35" s="105" t="e">
        <f>VLOOKUP(Table257519913140106110151155170178204303310[[#This Row],[PEG]],Table1016[#All],2,FALSE)</f>
        <v>#N/A</v>
      </c>
      <c r="D35" s="113"/>
      <c r="E35" s="122" t="e">
        <f>VLOOKUP(Table257519913140106110151155170178204303310[[#This Row],[PEG]],Table1016[#All],3,FALSE)</f>
        <v>#N/A</v>
      </c>
    </row>
    <row r="36" spans="1:5">
      <c r="A36" s="114">
        <v>29</v>
      </c>
      <c r="B36" s="110" t="s">
        <v>115</v>
      </c>
      <c r="C36" s="105" t="e">
        <f>VLOOKUP(Table257519913140106110151155170178204303310[[#This Row],[PEG]],Table1016[#All],2,FALSE)</f>
        <v>#N/A</v>
      </c>
      <c r="D36" s="113"/>
      <c r="E36" s="122" t="e">
        <f>VLOOKUP(Table257519913140106110151155170178204303310[[#This Row],[PEG]],Table1016[#All],3,FALSE)</f>
        <v>#N/A</v>
      </c>
    </row>
    <row r="37" spans="1:5">
      <c r="A37" s="114">
        <v>30</v>
      </c>
      <c r="B37" s="110" t="s">
        <v>12</v>
      </c>
      <c r="C37" s="105" t="e">
        <f>VLOOKUP(Table257519913140106110151155170178204303310[[#This Row],[PEG]],Table1016[#All],2,FALSE)</f>
        <v>#N/A</v>
      </c>
      <c r="D37" s="113"/>
      <c r="E37" s="122" t="e">
        <f>VLOOKUP(Table257519913140106110151155170178204303310[[#This Row],[PEG]],Table1016[#All],3,FALSE)</f>
        <v>#N/A</v>
      </c>
    </row>
    <row r="38" spans="1:5">
      <c r="A38" s="114">
        <v>31</v>
      </c>
      <c r="B38" s="110" t="s">
        <v>12</v>
      </c>
      <c r="C38" s="105" t="e">
        <f>VLOOKUP(Table257519913140106110151155170178204303310[[#This Row],[PEG]],Table1016[#All],2,FALSE)</f>
        <v>#N/A</v>
      </c>
      <c r="D38" s="113"/>
      <c r="E38" s="122" t="e">
        <f>VLOOKUP(Table257519913140106110151155170178204303310[[#This Row],[PEG]],Table1016[#All],3,FALSE)</f>
        <v>#N/A</v>
      </c>
    </row>
    <row r="39" spans="1:5">
      <c r="A39" s="114">
        <v>32</v>
      </c>
      <c r="B39" s="110" t="s">
        <v>12</v>
      </c>
      <c r="C39" s="105" t="e">
        <f>VLOOKUP(Table257519913140106110151155170178204303310[[#This Row],[PEG]],Table1016[#All],2,FALSE)</f>
        <v>#N/A</v>
      </c>
      <c r="D39" s="113"/>
      <c r="E39" s="122" t="e">
        <f>VLOOKUP(Table257519913140106110151155170178204303310[[#This Row],[PEG]],Table1016[#All],3,FALSE)</f>
        <v>#N/A</v>
      </c>
    </row>
    <row r="40" spans="1:5">
      <c r="A40" s="114">
        <v>33</v>
      </c>
      <c r="B40" s="110" t="s">
        <v>12</v>
      </c>
      <c r="C40" s="105" t="e">
        <f>VLOOKUP(Table257519913140106110151155170178204303310[[#This Row],[PEG]],Table1016[#All],2,FALSE)</f>
        <v>#N/A</v>
      </c>
      <c r="D40" s="113"/>
      <c r="E40" s="122" t="e">
        <f>VLOOKUP(Table257519913140106110151155170178204303310[[#This Row],[PEG]],Table1016[#All],3,FALSE)</f>
        <v>#N/A</v>
      </c>
    </row>
    <row r="41" spans="1:5">
      <c r="A41" s="114">
        <v>34</v>
      </c>
      <c r="B41" s="110" t="s">
        <v>115</v>
      </c>
      <c r="C41" s="105" t="e">
        <f>VLOOKUP(Table257519913140106110151155170178204303310[[#This Row],[PEG]],Table1016[#All],2,FALSE)</f>
        <v>#N/A</v>
      </c>
      <c r="D41" s="113"/>
      <c r="E41" s="122" t="e">
        <f>VLOOKUP(Table257519913140106110151155170178204303310[[#This Row],[PEG]],Table1016[#All],3,FALSE)</f>
        <v>#N/A</v>
      </c>
    </row>
    <row r="42" spans="1:5">
      <c r="A42" s="114">
        <v>35</v>
      </c>
      <c r="B42" s="110" t="s">
        <v>12</v>
      </c>
      <c r="C42" s="105" t="e">
        <f>VLOOKUP(Table257519913140106110151155170178204303310[[#This Row],[PEG]],Table1016[#All],2,FALSE)</f>
        <v>#N/A</v>
      </c>
      <c r="D42" s="111"/>
      <c r="E42" s="122" t="e">
        <f>VLOOKUP(Table257519913140106110151155170178204303310[[#This Row],[PEG]],Table1016[#All],3,FALSE)</f>
        <v>#N/A</v>
      </c>
    </row>
    <row r="43" spans="1:5">
      <c r="A43" s="114">
        <v>36</v>
      </c>
      <c r="B43" s="110" t="s">
        <v>115</v>
      </c>
      <c r="C43" s="105" t="e">
        <f>VLOOKUP(Table257519913140106110151155170178204303310[[#This Row],[PEG]],Table1016[#All],2,FALSE)</f>
        <v>#N/A</v>
      </c>
      <c r="D43" s="111"/>
      <c r="E43" s="122" t="e">
        <f>VLOOKUP(Table257519913140106110151155170178204303310[[#This Row],[PEG]],Table1016[#All],3,FALSE)</f>
        <v>#N/A</v>
      </c>
    </row>
    <row r="44" spans="1:5">
      <c r="A44" s="114">
        <v>37</v>
      </c>
      <c r="B44" s="110" t="s">
        <v>13</v>
      </c>
      <c r="C44" s="17" t="s">
        <v>13</v>
      </c>
      <c r="D44" s="111"/>
      <c r="E44" s="31"/>
    </row>
  </sheetData>
  <mergeCells count="1">
    <mergeCell ref="A1:B1"/>
  </mergeCells>
  <conditionalFormatting sqref="B8:B18">
    <cfRule type="containsText" dxfId="159" priority="1" operator="containsText" text="Hear">
      <formula>NOT(ISERROR(SEARCH("Hear",B8)))</formula>
    </cfRule>
  </conditionalFormatting>
  <conditionalFormatting sqref="B30">
    <cfRule type="containsText" dxfId="158" priority="4" operator="containsText" text="Hear">
      <formula>NOT(ISERROR(SEARCH("Hear",B30)))</formula>
    </cfRule>
  </conditionalFormatting>
  <conditionalFormatting sqref="B43:B44">
    <cfRule type="containsText" dxfId="157" priority="8" operator="containsText" text="Hear">
      <formula>NOT(ISERROR(SEARCH("Hear",B43)))</formula>
    </cfRule>
  </conditionalFormatting>
  <conditionalFormatting sqref="E44">
    <cfRule type="containsText" dxfId="156" priority="6" operator="containsText" text="WEB SERVICE">
      <formula>NOT(ISERROR(SEARCH("WEB SERVICE",E44)))</formula>
    </cfRule>
    <cfRule type="containsText" dxfId="155" priority="7" operator="containsText" text="DB">
      <formula>NOT(ISERROR(SEARCH("DB",E44)))</formula>
    </cfRule>
  </conditionalFormatting>
  <conditionalFormatting sqref="C44">
    <cfRule type="expression" dxfId="154" priority="9">
      <formula>$B44="HANGUP"</formula>
    </cfRule>
    <cfRule type="expression" dxfId="153" priority="9">
      <formula>$B44="Dial"</formula>
    </cfRule>
  </conditionalFormatting>
  <conditionalFormatting sqref="C44">
    <cfRule type="expression" dxfId="152" priority="3">
      <formula>$B44="Speak"</formula>
    </cfRule>
  </conditionalFormatting>
  <conditionalFormatting sqref="B36:B38 B40:B41">
    <cfRule type="containsText" dxfId="151" priority="2" operator="containsText" text="Hear">
      <formula>NOT(ISERROR(SEARCH("Hear",B36)))</formula>
    </cfRule>
  </conditionalFormatting>
  <conditionalFormatting sqref="B19:B29 B31:B35 B42">
    <cfRule type="containsText" dxfId="150" priority="5" operator="containsText" text="Hear">
      <formula>NOT(ISERROR(SEARCH("Hear",B19)))</formula>
    </cfRule>
  </conditionalFormatting>
  <hyperlinks>
    <hyperlink ref="A1" location="'Test Case Overview'!A1" display="Return to Test Case Overview" xr:uid="{00000000-0004-0000-C8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0" id="{B83547F7-2C79-4D82-A784-69F877493FBA}">
            <xm:f>'TC1'!$B8="HANGUP"</xm:f>
            <x14:dxf>
              <font>
                <b/>
                <i val="0"/>
              </font>
            </x14:dxf>
          </x14:cfRule>
          <x14:cfRule type="expression" priority="15" id="{65743360-0CE0-4CF7-9858-56834A16ED8C}">
            <xm:f>'TC1'!$B8="Dial"</xm:f>
            <x14:dxf>
              <font>
                <b/>
                <i val="0"/>
                <color rgb="FFFF0000"/>
              </font>
            </x14:dxf>
          </x14:cfRule>
          <xm:sqref>C8</xm:sqref>
        </x14:conditionalFormatting>
        <x14:conditionalFormatting xmlns:xm="http://schemas.microsoft.com/office/excel/2006/main">
          <x14:cfRule type="expression" priority="14" id="{B9DA48FE-B010-4B57-95A7-CFE836761F34}">
            <xm:f>'TC1'!$B8="Speak"</xm:f>
            <x14:dxf>
              <font>
                <b/>
                <i val="0"/>
                <color rgb="FFFF0000"/>
              </font>
            </x14:dxf>
          </x14:cfRule>
          <xm:sqref>C8</xm:sqref>
        </x14:conditionalFormatting>
        <x14:conditionalFormatting xmlns:xm="http://schemas.microsoft.com/office/excel/2006/main">
          <x14:cfRule type="containsText" priority="12" operator="containsText" text="DB" id="{E72C0843-4C48-451D-9693-83DC6F1D05B4}">
            <xm:f>NOT(ISERROR(SEARCH("DB",'TC1'!E10)))</xm:f>
            <x14:dxf>
              <font>
                <color rgb="FF006100"/>
              </font>
              <fill>
                <patternFill>
                  <bgColor rgb="FFC6EFCE"/>
                </patternFill>
              </fill>
            </x14:dxf>
          </x14:cfRule>
          <x14:cfRule type="containsText" priority="13" operator="containsText" text="WEB SERVICE" id="{5CF074AD-6C44-4A6B-92DA-F662C5C42AA5}">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containsText" priority="16" operator="containsText" text="Hear" id="{824CDDA2-A292-4C0F-8902-C9E7167D053E}">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482" id="{B83547F7-2C79-4D82-A784-69F877493FBA}">
            <xm:f>'TC1'!$B14="HANGUP"</xm:f>
            <x14:dxf>
              <font>
                <b/>
                <i val="0"/>
              </font>
            </x14:dxf>
          </x14:cfRule>
          <x14:cfRule type="expression" priority="3483" id="{65743360-0CE0-4CF7-9858-56834A16ED8C}">
            <xm:f>'TC1'!$B14="Dial"</xm:f>
            <x14:dxf>
              <font>
                <b/>
                <i val="0"/>
                <color rgb="FFFF0000"/>
              </font>
            </x14:dxf>
          </x14:cfRule>
          <xm:sqref>C34:C43</xm:sqref>
        </x14:conditionalFormatting>
        <x14:conditionalFormatting xmlns:xm="http://schemas.microsoft.com/office/excel/2006/main">
          <x14:cfRule type="expression" priority="3484" id="{B83547F7-2C79-4D82-A784-69F877493FBA}">
            <xm:f>'TC1'!#REF!="HANGUP"</xm:f>
            <x14:dxf>
              <font>
                <b/>
                <i val="0"/>
              </font>
            </x14:dxf>
          </x14:cfRule>
          <x14:cfRule type="expression" priority="3485" id="{65743360-0CE0-4CF7-9858-56834A16ED8C}">
            <xm:f>'TC1'!#REF!="Dial"</xm:f>
            <x14:dxf>
              <font>
                <b/>
                <i val="0"/>
                <color rgb="FFFF0000"/>
              </font>
            </x14:dxf>
          </x14:cfRule>
          <xm:sqref>C13:C33</xm:sqref>
        </x14:conditionalFormatting>
        <x14:conditionalFormatting xmlns:xm="http://schemas.microsoft.com/office/excel/2006/main">
          <x14:cfRule type="expression" priority="3489" id="{B9DA48FE-B010-4B57-95A7-CFE836761F34}">
            <xm:f>'TC1'!$B14="Speak"</xm:f>
            <x14:dxf>
              <font>
                <b/>
                <i val="0"/>
                <color rgb="FFFF0000"/>
              </font>
            </x14:dxf>
          </x14:cfRule>
          <xm:sqref>C34:C43</xm:sqref>
        </x14:conditionalFormatting>
        <x14:conditionalFormatting xmlns:xm="http://schemas.microsoft.com/office/excel/2006/main">
          <x14:cfRule type="expression" priority="3490" id="{B9DA48FE-B010-4B57-95A7-CFE836761F34}">
            <xm:f>'TC1'!#REF!="Speak"</xm:f>
            <x14:dxf>
              <font>
                <b/>
                <i val="0"/>
                <color rgb="FFFF0000"/>
              </font>
            </x14:dxf>
          </x14:cfRule>
          <xm:sqref>C13:C33</xm:sqref>
        </x14:conditionalFormatting>
        <x14:conditionalFormatting xmlns:xm="http://schemas.microsoft.com/office/excel/2006/main">
          <x14:cfRule type="containsText" priority="3494" operator="containsText" text="DB" id="{E72C0843-4C48-451D-9693-83DC6F1D05B4}">
            <xm:f>NOT(ISERROR(SEARCH("DB",'TC1'!E14)))</xm:f>
            <x14:dxf>
              <font>
                <color rgb="FF006100"/>
              </font>
              <fill>
                <patternFill>
                  <bgColor rgb="FFC6EFCE"/>
                </patternFill>
              </fill>
            </x14:dxf>
          </x14:cfRule>
          <x14:cfRule type="containsText" priority="3495" operator="containsText" text="WEB SERVICE" id="{5CF074AD-6C44-4A6B-92DA-F662C5C42AA5}">
            <xm:f>NOT(ISERROR(SEARCH("WEB SERVICE",'TC1'!E14)))</xm:f>
            <x14:dxf>
              <font>
                <color rgb="FF9C0006"/>
              </font>
              <fill>
                <patternFill>
                  <bgColor rgb="FFFFC7CE"/>
                </patternFill>
              </fill>
            </x14:dxf>
          </x14:cfRule>
          <xm:sqref>E34:E43</xm:sqref>
        </x14:conditionalFormatting>
        <x14:conditionalFormatting xmlns:xm="http://schemas.microsoft.com/office/excel/2006/main">
          <x14:cfRule type="containsText" priority="3496" operator="containsText" text="DB" id="{E72C0843-4C48-451D-9693-83DC6F1D05B4}">
            <xm:f>NOT(ISERROR(SEARCH("DB",'TC1'!#REF!)))</xm:f>
            <x14:dxf>
              <font>
                <color rgb="FF006100"/>
              </font>
              <fill>
                <patternFill>
                  <bgColor rgb="FFC6EFCE"/>
                </patternFill>
              </fill>
            </x14:dxf>
          </x14:cfRule>
          <x14:cfRule type="containsText" priority="3497" operator="containsText" text="WEB SERVICE" id="{5CF074AD-6C44-4A6B-92DA-F662C5C42AA5}">
            <xm:f>NOT(ISERROR(SEARCH("WEB SERVICE",'TC1'!#REF!)))</xm:f>
            <x14:dxf>
              <font>
                <color rgb="FF9C0006"/>
              </font>
              <fill>
                <patternFill>
                  <bgColor rgb="FFFFC7CE"/>
                </patternFill>
              </fill>
            </x14:dxf>
          </x14:cfRule>
          <xm:sqref>E13:E33</xm:sqref>
        </x14:conditionalFormatting>
        <x14:conditionalFormatting xmlns:xm="http://schemas.microsoft.com/office/excel/2006/main">
          <x14:cfRule type="expression" priority="4664" id="{B83547F7-2C79-4D82-A784-69F877493FBA}">
            <xm:f>'TC1'!$B10="HANGUP"</xm:f>
            <x14:dxf>
              <font>
                <b/>
                <i val="0"/>
              </font>
            </x14:dxf>
          </x14:cfRule>
          <x14:cfRule type="expression" priority="4665" id="{65743360-0CE0-4CF7-9858-56834A16ED8C}">
            <xm:f>'TC1'!$B10="Dial"</xm:f>
            <x14:dxf>
              <font>
                <b/>
                <i val="0"/>
                <color rgb="FFFF0000"/>
              </font>
            </x14:dxf>
          </x14:cfRule>
          <xm:sqref>C9:C12</xm:sqref>
        </x14:conditionalFormatting>
        <x14:conditionalFormatting xmlns:xm="http://schemas.microsoft.com/office/excel/2006/main">
          <x14:cfRule type="expression" priority="4667" id="{B9DA48FE-B010-4B57-95A7-CFE836761F34}">
            <xm:f>'TC1'!$B10="Speak"</xm:f>
            <x14:dxf>
              <font>
                <b/>
                <i val="0"/>
                <color rgb="FFFF0000"/>
              </font>
            </x14:dxf>
          </x14:cfRule>
          <xm:sqref>C9:C12</xm:sqref>
        </x14:conditionalFormatting>
        <x14:conditionalFormatting xmlns:xm="http://schemas.microsoft.com/office/excel/2006/main">
          <x14:cfRule type="containsText" priority="6690" operator="containsText" text="Hear" id="{AECFB127-F978-4297-B92F-4A62684CA466}">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900-000000000000}">
  <sheetPr codeName="Sheet203"/>
  <dimension ref="A1:E44"/>
  <sheetViews>
    <sheetView zoomScaleNormal="100" workbookViewId="0">
      <selection activeCell="A2" sqref="A1:E1048576"/>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TC201</v>
      </c>
      <c r="C2" s="94"/>
      <c r="D2" s="107"/>
      <c r="E2" s="93"/>
    </row>
    <row r="3" spans="1:5">
      <c r="A3" s="100" t="s">
        <v>19</v>
      </c>
      <c r="B3" s="108" t="e">
        <f ca="1">VLOOKUP(B2,Table53[#All],2,FALSE)</f>
        <v>#N/A</v>
      </c>
      <c r="C3" s="94"/>
      <c r="D3" s="107"/>
      <c r="E3" s="93"/>
    </row>
    <row r="4" spans="1:5" ht="30">
      <c r="A4" s="109" t="s">
        <v>20</v>
      </c>
      <c r="B4" s="95" t="e">
        <f ca="1">VLOOKUP(B2,Table53[#All],4,FALSE)</f>
        <v>#N/A</v>
      </c>
      <c r="C4" s="94"/>
      <c r="D4" s="107"/>
      <c r="E4" s="93"/>
    </row>
    <row r="5" spans="1:5">
      <c r="A5" s="100" t="s">
        <v>6</v>
      </c>
      <c r="B5" s="75" t="e">
        <f ca="1">VLOOKUP(B2,Table53[#All],3,FALSE)</f>
        <v>#N/A</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VLOOKUP(Table257519913140106110151155170178204303312[[#This Row],[PEG]],Table1016[#All],2,FALSE)</f>
        <v>#N/A</v>
      </c>
      <c r="D9" s="125"/>
      <c r="E9" s="122" t="e">
        <f>VLOOKUP(Table257519913140106110151155170178204303312[[#This Row],[PEG]],Table1016[#All],3,FALSE)</f>
        <v>#N/A</v>
      </c>
    </row>
    <row r="10" spans="1:5">
      <c r="A10" s="114">
        <v>3</v>
      </c>
      <c r="B10" s="110" t="s">
        <v>115</v>
      </c>
      <c r="C10" s="105" t="e">
        <f>VLOOKUP(Table257519913140106110151155170178204303312[[#This Row],[PEG]],Table1016[#All],2,FALSE)</f>
        <v>#N/A</v>
      </c>
      <c r="D10" s="125"/>
      <c r="E10" s="122" t="e">
        <f>VLOOKUP(Table257519913140106110151155170178204303312[[#This Row],[PEG]],Table1016[#All],3,FALSE)</f>
        <v>#N/A</v>
      </c>
    </row>
    <row r="11" spans="1:5">
      <c r="A11" s="114">
        <v>4</v>
      </c>
      <c r="B11" s="110" t="s">
        <v>115</v>
      </c>
      <c r="C11" s="105" t="e">
        <f>VLOOKUP(Table257519913140106110151155170178204303312[[#This Row],[PEG]],Table1016[#All],2,FALSE)</f>
        <v>#N/A</v>
      </c>
      <c r="D11" s="125"/>
      <c r="E11" s="122" t="e">
        <f>VLOOKUP(Table257519913140106110151155170178204303312[[#This Row],[PEG]],Table1016[#All],3,FALSE)</f>
        <v>#N/A</v>
      </c>
    </row>
    <row r="12" spans="1:5">
      <c r="A12" s="114">
        <v>5</v>
      </c>
      <c r="B12" s="110" t="s">
        <v>114</v>
      </c>
      <c r="C12" s="105" t="e">
        <f>VLOOKUP(Table257519913140106110151155170178204303312[[#This Row],[PEG]],Table1016[#All],2,FALSE)</f>
        <v>#N/A</v>
      </c>
      <c r="D12" s="125"/>
      <c r="E12" s="122" t="e">
        <f>VLOOKUP(Table257519913140106110151155170178204303312[[#This Row],[PEG]],Table1016[#All],3,FALSE)</f>
        <v>#N/A</v>
      </c>
    </row>
    <row r="13" spans="1:5">
      <c r="A13" s="114">
        <v>6</v>
      </c>
      <c r="B13" s="110" t="s">
        <v>115</v>
      </c>
      <c r="C13" s="105" t="e">
        <f>VLOOKUP(Table257519913140106110151155170178204303312[[#This Row],[PEG]],Table1016[#All],2,FALSE)</f>
        <v>#N/A</v>
      </c>
      <c r="D13" s="125"/>
      <c r="E13" s="122" t="e">
        <f>VLOOKUP(Table257519913140106110151155170178204303312[[#This Row],[PEG]],Table1016[#All],3,FALSE)</f>
        <v>#N/A</v>
      </c>
    </row>
    <row r="14" spans="1:5">
      <c r="A14" s="114">
        <v>7</v>
      </c>
      <c r="B14" s="110" t="s">
        <v>114</v>
      </c>
      <c r="C14" s="105" t="e">
        <f>VLOOKUP(Table257519913140106110151155170178204303312[[#This Row],[PEG]],Table1016[#All],2,FALSE)</f>
        <v>#N/A</v>
      </c>
      <c r="D14" s="125"/>
      <c r="E14" s="122" t="e">
        <f>VLOOKUP(Table257519913140106110151155170178204303312[[#This Row],[PEG]],Table1016[#All],3,FALSE)</f>
        <v>#N/A</v>
      </c>
    </row>
    <row r="15" spans="1:5">
      <c r="A15" s="114">
        <v>8</v>
      </c>
      <c r="B15" s="110" t="s">
        <v>115</v>
      </c>
      <c r="C15" s="105" t="e">
        <f>VLOOKUP(Table257519913140106110151155170178204303312[[#This Row],[PEG]],Table1016[#All],2,FALSE)</f>
        <v>#N/A</v>
      </c>
      <c r="D15" s="112"/>
      <c r="E15" s="122" t="e">
        <f>VLOOKUP(Table257519913140106110151155170178204303312[[#This Row],[PEG]],Table1016[#All],3,FALSE)</f>
        <v>#N/A</v>
      </c>
    </row>
    <row r="16" spans="1:5">
      <c r="A16" s="114">
        <v>9</v>
      </c>
      <c r="B16" s="110" t="s">
        <v>12</v>
      </c>
      <c r="C16" s="105" t="e">
        <f>VLOOKUP(Table257519913140106110151155170178204303312[[#This Row],[PEG]],Table1016[#All],2,FALSE)</f>
        <v>#N/A</v>
      </c>
      <c r="D16" s="112"/>
      <c r="E16" s="122" t="e">
        <f>VLOOKUP(Table257519913140106110151155170178204303312[[#This Row],[PEG]],Table1016[#All],3,FALSE)</f>
        <v>#N/A</v>
      </c>
    </row>
    <row r="17" spans="1:5">
      <c r="A17" s="114">
        <v>10</v>
      </c>
      <c r="B17" s="110" t="s">
        <v>12</v>
      </c>
      <c r="C17" s="105" t="e">
        <f>VLOOKUP(Table257519913140106110151155170178204303312[[#This Row],[PEG]],Table1016[#All],2,FALSE)</f>
        <v>#N/A</v>
      </c>
      <c r="D17" s="113"/>
      <c r="E17" s="122" t="e">
        <f>VLOOKUP(Table257519913140106110151155170178204303312[[#This Row],[PEG]],Table1016[#All],3,FALSE)</f>
        <v>#N/A</v>
      </c>
    </row>
    <row r="18" spans="1:5">
      <c r="A18" s="114">
        <v>11</v>
      </c>
      <c r="B18" s="110" t="s">
        <v>115</v>
      </c>
      <c r="C18" s="105" t="e">
        <f>VLOOKUP(Table257519913140106110151155170178204303312[[#This Row],[PEG]],Table1016[#All],2,FALSE)</f>
        <v>#N/A</v>
      </c>
      <c r="D18" s="113"/>
      <c r="E18" s="122" t="e">
        <f>VLOOKUP(Table257519913140106110151155170178204303312[[#This Row],[PEG]],Table1016[#All],3,FALSE)</f>
        <v>#N/A</v>
      </c>
    </row>
    <row r="19" spans="1:5">
      <c r="A19" s="114">
        <v>12</v>
      </c>
      <c r="B19" s="110" t="s">
        <v>115</v>
      </c>
      <c r="C19" s="105" t="e">
        <f>VLOOKUP(Table257519913140106110151155170178204303312[[#This Row],[PEG]],Table1016[#All],2,FALSE)</f>
        <v>#N/A</v>
      </c>
      <c r="D19" s="113"/>
      <c r="E19" s="122" t="e">
        <f>VLOOKUP(Table257519913140106110151155170178204303312[[#This Row],[PEG]],Table1016[#All],3,FALSE)</f>
        <v>#N/A</v>
      </c>
    </row>
    <row r="20" spans="1:5">
      <c r="A20" s="114">
        <v>13</v>
      </c>
      <c r="B20" s="110" t="s">
        <v>114</v>
      </c>
      <c r="C20" s="105" t="e">
        <f>VLOOKUP(Table257519913140106110151155170178204303312[[#This Row],[PEG]],Table1016[#All],2,FALSE)</f>
        <v>#N/A</v>
      </c>
      <c r="D20" s="113"/>
      <c r="E20" s="122" t="e">
        <f>VLOOKUP(Table257519913140106110151155170178204303312[[#This Row],[PEG]],Table1016[#All],3,FALSE)</f>
        <v>#N/A</v>
      </c>
    </row>
    <row r="21" spans="1:5">
      <c r="A21" s="114">
        <v>14</v>
      </c>
      <c r="B21" s="110" t="s">
        <v>12</v>
      </c>
      <c r="C21" s="105" t="e">
        <f>VLOOKUP(Table257519913140106110151155170178204303312[[#This Row],[PEG]],Table1016[#All],2,FALSE)</f>
        <v>#N/A</v>
      </c>
      <c r="D21" s="113"/>
      <c r="E21" s="122" t="e">
        <f>VLOOKUP(Table257519913140106110151155170178204303312[[#This Row],[PEG]],Table1016[#All],3,FALSE)</f>
        <v>#N/A</v>
      </c>
    </row>
    <row r="22" spans="1:5">
      <c r="A22" s="114">
        <v>15</v>
      </c>
      <c r="B22" s="110" t="s">
        <v>12</v>
      </c>
      <c r="C22" s="105" t="e">
        <f>VLOOKUP(Table257519913140106110151155170178204303312[[#This Row],[PEG]],Table1016[#All],2,FALSE)</f>
        <v>#N/A</v>
      </c>
      <c r="D22" s="113"/>
      <c r="E22" s="122" t="e">
        <f>VLOOKUP(Table257519913140106110151155170178204303312[[#This Row],[PEG]],Table1016[#All],3,FALSE)</f>
        <v>#N/A</v>
      </c>
    </row>
    <row r="23" spans="1:5">
      <c r="A23" s="114">
        <v>16</v>
      </c>
      <c r="B23" s="110" t="s">
        <v>115</v>
      </c>
      <c r="C23" s="105" t="e">
        <f>VLOOKUP(Table257519913140106110151155170178204303312[[#This Row],[PEG]],Table1016[#All],2,FALSE)</f>
        <v>#N/A</v>
      </c>
      <c r="D23" s="113"/>
      <c r="E23" s="122" t="e">
        <f>VLOOKUP(Table257519913140106110151155170178204303312[[#This Row],[PEG]],Table1016[#All],3,FALSE)</f>
        <v>#N/A</v>
      </c>
    </row>
    <row r="24" spans="1:5">
      <c r="A24" s="114">
        <v>17</v>
      </c>
      <c r="B24" s="110" t="s">
        <v>114</v>
      </c>
      <c r="C24" s="105" t="e">
        <f>VLOOKUP(Table257519913140106110151155170178204303312[[#This Row],[PEG]],Table1016[#All],2,FALSE)</f>
        <v>#N/A</v>
      </c>
      <c r="D24" s="113"/>
      <c r="E24" s="122" t="e">
        <f>VLOOKUP(Table257519913140106110151155170178204303312[[#This Row],[PEG]],Table1016[#All],3,FALSE)</f>
        <v>#N/A</v>
      </c>
    </row>
    <row r="25" spans="1:5">
      <c r="A25" s="114">
        <v>18</v>
      </c>
      <c r="B25" s="110" t="s">
        <v>12</v>
      </c>
      <c r="C25" s="105" t="e">
        <f>VLOOKUP(Table257519913140106110151155170178204303312[[#This Row],[PEG]],Table1016[#All],2,FALSE)</f>
        <v>#N/A</v>
      </c>
      <c r="D25" s="113"/>
      <c r="E25" s="122" t="e">
        <f>VLOOKUP(Table257519913140106110151155170178204303312[[#This Row],[PEG]],Table1016[#All],3,FALSE)</f>
        <v>#N/A</v>
      </c>
    </row>
    <row r="26" spans="1:5">
      <c r="A26" s="114">
        <v>19</v>
      </c>
      <c r="B26" s="110" t="s">
        <v>12</v>
      </c>
      <c r="C26" s="105" t="e">
        <f>VLOOKUP(Table257519913140106110151155170178204303312[[#This Row],[PEG]],Table1016[#All],2,FALSE)</f>
        <v>#N/A</v>
      </c>
      <c r="D26" s="113"/>
      <c r="E26" s="122" t="e">
        <f>VLOOKUP(Table257519913140106110151155170178204303312[[#This Row],[PEG]],Table1016[#All],3,FALSE)</f>
        <v>#N/A</v>
      </c>
    </row>
    <row r="27" spans="1:5">
      <c r="A27" s="114">
        <v>20</v>
      </c>
      <c r="B27" s="110" t="s">
        <v>115</v>
      </c>
      <c r="C27" s="105" t="e">
        <f>VLOOKUP(Table257519913140106110151155170178204303312[[#This Row],[PEG]],Table1016[#All],2,FALSE)</f>
        <v>#N/A</v>
      </c>
      <c r="D27" s="113"/>
      <c r="E27" s="122" t="e">
        <f>VLOOKUP(Table257519913140106110151155170178204303312[[#This Row],[PEG]],Table1016[#All],3,FALSE)</f>
        <v>#N/A</v>
      </c>
    </row>
    <row r="28" spans="1:5">
      <c r="A28" s="114">
        <v>21</v>
      </c>
      <c r="B28" s="110" t="s">
        <v>114</v>
      </c>
      <c r="C28" s="105" t="e">
        <f>VLOOKUP(Table257519913140106110151155170178204303312[[#This Row],[PEG]],Table1016[#All],2,FALSE)</f>
        <v>#N/A</v>
      </c>
      <c r="D28" s="113"/>
      <c r="E28" s="122" t="e">
        <f>VLOOKUP(Table257519913140106110151155170178204303312[[#This Row],[PEG]],Table1016[#All],3,FALSE)</f>
        <v>#N/A</v>
      </c>
    </row>
    <row r="29" spans="1:5">
      <c r="A29" s="114">
        <v>22</v>
      </c>
      <c r="B29" s="110" t="s">
        <v>12</v>
      </c>
      <c r="C29" s="105" t="e">
        <f>VLOOKUP(Table257519913140106110151155170178204303312[[#This Row],[PEG]],Table1016[#All],2,FALSE)</f>
        <v>#N/A</v>
      </c>
      <c r="D29" s="113"/>
      <c r="E29" s="122" t="e">
        <f>VLOOKUP(Table257519913140106110151155170178204303312[[#This Row],[PEG]],Table1016[#All],3,FALSE)</f>
        <v>#N/A</v>
      </c>
    </row>
    <row r="30" spans="1:5">
      <c r="A30" s="114">
        <v>23</v>
      </c>
      <c r="B30" s="110" t="s">
        <v>12</v>
      </c>
      <c r="C30" s="105" t="e">
        <f>VLOOKUP(Table257519913140106110151155170178204303312[[#This Row],[PEG]],Table1016[#All],2,FALSE)</f>
        <v>#N/A</v>
      </c>
      <c r="D30" s="113"/>
      <c r="E30" s="122" t="e">
        <f>VLOOKUP(Table257519913140106110151155170178204303312[[#This Row],[PEG]],Table1016[#All],3,FALSE)</f>
        <v>#N/A</v>
      </c>
    </row>
    <row r="31" spans="1:5">
      <c r="A31" s="114">
        <v>24</v>
      </c>
      <c r="B31" s="110" t="s">
        <v>115</v>
      </c>
      <c r="C31" s="105" t="e">
        <f>VLOOKUP(Table257519913140106110151155170178204303312[[#This Row],[PEG]],Table1016[#All],2,FALSE)</f>
        <v>#N/A</v>
      </c>
      <c r="D31" s="113"/>
      <c r="E31" s="122" t="e">
        <f>VLOOKUP(Table257519913140106110151155170178204303312[[#This Row],[PEG]],Table1016[#All],3,FALSE)</f>
        <v>#N/A</v>
      </c>
    </row>
    <row r="32" spans="1:5">
      <c r="A32" s="114">
        <v>25</v>
      </c>
      <c r="B32" s="110" t="s">
        <v>115</v>
      </c>
      <c r="C32" s="105" t="e">
        <f>VLOOKUP(Table257519913140106110151155170178204303312[[#This Row],[PEG]],Table1016[#All],2,FALSE)</f>
        <v>#N/A</v>
      </c>
      <c r="D32" s="113"/>
      <c r="E32" s="122" t="e">
        <f>VLOOKUP(Table257519913140106110151155170178204303312[[#This Row],[PEG]],Table1016[#All],3,FALSE)</f>
        <v>#N/A</v>
      </c>
    </row>
    <row r="33" spans="1:5">
      <c r="A33" s="114">
        <v>26</v>
      </c>
      <c r="B33" s="110" t="s">
        <v>124</v>
      </c>
      <c r="C33" s="105" t="e">
        <f>VLOOKUP(Table257519913140106110151155170178204303312[[#This Row],[PEG]],Table1016[#All],2,FALSE)</f>
        <v>#N/A</v>
      </c>
      <c r="D33" s="113"/>
      <c r="E33" s="122" t="e">
        <f>VLOOKUP(Table257519913140106110151155170178204303312[[#This Row],[PEG]],Table1016[#All],3,FALSE)</f>
        <v>#N/A</v>
      </c>
    </row>
    <row r="34" spans="1:5">
      <c r="A34" s="114">
        <v>27</v>
      </c>
      <c r="B34" s="110" t="s">
        <v>115</v>
      </c>
      <c r="C34" s="105" t="e">
        <f>VLOOKUP(Table257519913140106110151155170178204303312[[#This Row],[PEG]],Table1016[#All],2,FALSE)</f>
        <v>#N/A</v>
      </c>
      <c r="D34" s="113"/>
      <c r="E34" s="122" t="e">
        <f>VLOOKUP(Table257519913140106110151155170178204303312[[#This Row],[PEG]],Table1016[#All],3,FALSE)</f>
        <v>#N/A</v>
      </c>
    </row>
    <row r="35" spans="1:5">
      <c r="A35" s="114">
        <v>28</v>
      </c>
      <c r="B35" s="110" t="s">
        <v>124</v>
      </c>
      <c r="C35" s="105" t="e">
        <f>VLOOKUP(Table257519913140106110151155170178204303312[[#This Row],[PEG]],Table1016[#All],2,FALSE)</f>
        <v>#N/A</v>
      </c>
      <c r="D35" s="113"/>
      <c r="E35" s="122" t="e">
        <f>VLOOKUP(Table257519913140106110151155170178204303312[[#This Row],[PEG]],Table1016[#All],3,FALSE)</f>
        <v>#N/A</v>
      </c>
    </row>
    <row r="36" spans="1:5">
      <c r="A36" s="114">
        <v>29</v>
      </c>
      <c r="B36" s="110" t="s">
        <v>115</v>
      </c>
      <c r="C36" s="105" t="e">
        <f>VLOOKUP(Table257519913140106110151155170178204303312[[#This Row],[PEG]],Table1016[#All],2,FALSE)</f>
        <v>#N/A</v>
      </c>
      <c r="D36" s="113"/>
      <c r="E36" s="122" t="e">
        <f>VLOOKUP(Table257519913140106110151155170178204303312[[#This Row],[PEG]],Table1016[#All],3,FALSE)</f>
        <v>#N/A</v>
      </c>
    </row>
    <row r="37" spans="1:5">
      <c r="A37" s="114">
        <v>30</v>
      </c>
      <c r="B37" s="110" t="s">
        <v>12</v>
      </c>
      <c r="C37" s="105" t="e">
        <f>VLOOKUP(Table257519913140106110151155170178204303312[[#This Row],[PEG]],Table1016[#All],2,FALSE)</f>
        <v>#N/A</v>
      </c>
      <c r="D37" s="113"/>
      <c r="E37" s="122" t="e">
        <f>VLOOKUP(Table257519913140106110151155170178204303312[[#This Row],[PEG]],Table1016[#All],3,FALSE)</f>
        <v>#N/A</v>
      </c>
    </row>
    <row r="38" spans="1:5">
      <c r="A38" s="114">
        <v>31</v>
      </c>
      <c r="B38" s="110" t="s">
        <v>12</v>
      </c>
      <c r="C38" s="105" t="e">
        <f>VLOOKUP(Table257519913140106110151155170178204303312[[#This Row],[PEG]],Table1016[#All],2,FALSE)</f>
        <v>#N/A</v>
      </c>
      <c r="D38" s="113"/>
      <c r="E38" s="122" t="e">
        <f>VLOOKUP(Table257519913140106110151155170178204303312[[#This Row],[PEG]],Table1016[#All],3,FALSE)</f>
        <v>#N/A</v>
      </c>
    </row>
    <row r="39" spans="1:5">
      <c r="A39" s="114">
        <v>32</v>
      </c>
      <c r="B39" s="110" t="s">
        <v>12</v>
      </c>
      <c r="C39" s="105" t="e">
        <f>VLOOKUP(Table257519913140106110151155170178204303312[[#This Row],[PEG]],Table1016[#All],2,FALSE)</f>
        <v>#N/A</v>
      </c>
      <c r="D39" s="113"/>
      <c r="E39" s="122" t="e">
        <f>VLOOKUP(Table257519913140106110151155170178204303312[[#This Row],[PEG]],Table1016[#All],3,FALSE)</f>
        <v>#N/A</v>
      </c>
    </row>
    <row r="40" spans="1:5">
      <c r="A40" s="114">
        <v>33</v>
      </c>
      <c r="B40" s="110" t="s">
        <v>12</v>
      </c>
      <c r="C40" s="105" t="e">
        <f>VLOOKUP(Table257519913140106110151155170178204303312[[#This Row],[PEG]],Table1016[#All],2,FALSE)</f>
        <v>#N/A</v>
      </c>
      <c r="D40" s="113"/>
      <c r="E40" s="122" t="e">
        <f>VLOOKUP(Table257519913140106110151155170178204303312[[#This Row],[PEG]],Table1016[#All],3,FALSE)</f>
        <v>#N/A</v>
      </c>
    </row>
    <row r="41" spans="1:5">
      <c r="A41" s="114">
        <v>34</v>
      </c>
      <c r="B41" s="110" t="s">
        <v>115</v>
      </c>
      <c r="C41" s="105" t="e">
        <f>VLOOKUP(Table257519913140106110151155170178204303312[[#This Row],[PEG]],Table1016[#All],2,FALSE)</f>
        <v>#N/A</v>
      </c>
      <c r="D41" s="113"/>
      <c r="E41" s="122" t="e">
        <f>VLOOKUP(Table257519913140106110151155170178204303312[[#This Row],[PEG]],Table1016[#All],3,FALSE)</f>
        <v>#N/A</v>
      </c>
    </row>
    <row r="42" spans="1:5">
      <c r="A42" s="114">
        <v>35</v>
      </c>
      <c r="B42" s="110" t="s">
        <v>12</v>
      </c>
      <c r="C42" s="105" t="e">
        <f>VLOOKUP(Table257519913140106110151155170178204303312[[#This Row],[PEG]],Table1016[#All],2,FALSE)</f>
        <v>#N/A</v>
      </c>
      <c r="D42" s="111"/>
      <c r="E42" s="122" t="e">
        <f>VLOOKUP(Table257519913140106110151155170178204303312[[#This Row],[PEG]],Table1016[#All],3,FALSE)</f>
        <v>#N/A</v>
      </c>
    </row>
    <row r="43" spans="1:5">
      <c r="A43" s="114">
        <v>36</v>
      </c>
      <c r="B43" s="110" t="s">
        <v>115</v>
      </c>
      <c r="C43" s="105" t="e">
        <f>VLOOKUP(Table257519913140106110151155170178204303312[[#This Row],[PEG]],Table1016[#All],2,FALSE)</f>
        <v>#N/A</v>
      </c>
      <c r="D43" s="111"/>
      <c r="E43" s="122" t="e">
        <f>VLOOKUP(Table257519913140106110151155170178204303312[[#This Row],[PEG]],Table1016[#All],3,FALSE)</f>
        <v>#N/A</v>
      </c>
    </row>
    <row r="44" spans="1:5">
      <c r="A44" s="114">
        <v>37</v>
      </c>
      <c r="B44" s="110" t="s">
        <v>13</v>
      </c>
      <c r="C44" s="17" t="s">
        <v>13</v>
      </c>
      <c r="D44" s="111"/>
      <c r="E44" s="31"/>
    </row>
  </sheetData>
  <mergeCells count="1">
    <mergeCell ref="A1:B1"/>
  </mergeCells>
  <conditionalFormatting sqref="B8:B18">
    <cfRule type="containsText" dxfId="120" priority="1" operator="containsText" text="Hear">
      <formula>NOT(ISERROR(SEARCH("Hear",B8)))</formula>
    </cfRule>
  </conditionalFormatting>
  <conditionalFormatting sqref="B30">
    <cfRule type="containsText" dxfId="119" priority="4" operator="containsText" text="Hear">
      <formula>NOT(ISERROR(SEARCH("Hear",B30)))</formula>
    </cfRule>
  </conditionalFormatting>
  <conditionalFormatting sqref="B43:B44">
    <cfRule type="containsText" dxfId="118" priority="8" operator="containsText" text="Hear">
      <formula>NOT(ISERROR(SEARCH("Hear",B43)))</formula>
    </cfRule>
  </conditionalFormatting>
  <conditionalFormatting sqref="E44">
    <cfRule type="containsText" dxfId="117" priority="6" operator="containsText" text="WEB SERVICE">
      <formula>NOT(ISERROR(SEARCH("WEB SERVICE",E44)))</formula>
    </cfRule>
    <cfRule type="containsText" dxfId="116" priority="7" operator="containsText" text="DB">
      <formula>NOT(ISERROR(SEARCH("DB",E44)))</formula>
    </cfRule>
  </conditionalFormatting>
  <conditionalFormatting sqref="C44">
    <cfRule type="expression" dxfId="115" priority="9">
      <formula>$B44="HANGUP"</formula>
    </cfRule>
    <cfRule type="expression" dxfId="114" priority="9">
      <formula>$B44="Dial"</formula>
    </cfRule>
  </conditionalFormatting>
  <conditionalFormatting sqref="C44">
    <cfRule type="expression" dxfId="113" priority="3">
      <formula>$B44="Speak"</formula>
    </cfRule>
  </conditionalFormatting>
  <conditionalFormatting sqref="B36:B38 B40:B41">
    <cfRule type="containsText" dxfId="112" priority="2" operator="containsText" text="Hear">
      <formula>NOT(ISERROR(SEARCH("Hear",B36)))</formula>
    </cfRule>
  </conditionalFormatting>
  <conditionalFormatting sqref="B19:B29 B31:B35 B42">
    <cfRule type="containsText" dxfId="111" priority="5" operator="containsText" text="Hear">
      <formula>NOT(ISERROR(SEARCH("Hear",B19)))</formula>
    </cfRule>
  </conditionalFormatting>
  <hyperlinks>
    <hyperlink ref="A1" location="'Test Case Overview'!A1" display="Return to Test Case Overview" xr:uid="{00000000-0004-0000-C9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0" id="{ADE530F3-E253-4AAC-81E6-4A9AB2C47015}">
            <xm:f>'TC1'!$B8="HANGUP"</xm:f>
            <x14:dxf>
              <font>
                <b/>
                <i val="0"/>
              </font>
            </x14:dxf>
          </x14:cfRule>
          <x14:cfRule type="expression" priority="15" id="{914DA0E3-B171-4D2D-B60C-185469C36234}">
            <xm:f>'TC1'!$B8="Dial"</xm:f>
            <x14:dxf>
              <font>
                <b/>
                <i val="0"/>
                <color rgb="FFFF0000"/>
              </font>
            </x14:dxf>
          </x14:cfRule>
          <xm:sqref>C8</xm:sqref>
        </x14:conditionalFormatting>
        <x14:conditionalFormatting xmlns:xm="http://schemas.microsoft.com/office/excel/2006/main">
          <x14:cfRule type="expression" priority="14" id="{CCEDBEEA-A7BB-46EA-8AB0-FDB70E60C014}">
            <xm:f>'TC1'!$B8="Speak"</xm:f>
            <x14:dxf>
              <font>
                <b/>
                <i val="0"/>
                <color rgb="FFFF0000"/>
              </font>
            </x14:dxf>
          </x14:cfRule>
          <xm:sqref>C8</xm:sqref>
        </x14:conditionalFormatting>
        <x14:conditionalFormatting xmlns:xm="http://schemas.microsoft.com/office/excel/2006/main">
          <x14:cfRule type="containsText" priority="12" operator="containsText" text="DB" id="{DD0E3057-640C-4190-A0BD-258A2F3476BE}">
            <xm:f>NOT(ISERROR(SEARCH("DB",'TC1'!E10)))</xm:f>
            <x14:dxf>
              <font>
                <color rgb="FF006100"/>
              </font>
              <fill>
                <patternFill>
                  <bgColor rgb="FFC6EFCE"/>
                </patternFill>
              </fill>
            </x14:dxf>
          </x14:cfRule>
          <x14:cfRule type="containsText" priority="13" operator="containsText" text="WEB SERVICE" id="{B8A1F020-57C4-4B36-B3F5-4A0037FF7803}">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containsText" priority="16" operator="containsText" text="Hear" id="{81706477-E028-40B5-9DFC-4F4438049CE5}">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502" id="{ADE530F3-E253-4AAC-81E6-4A9AB2C47015}">
            <xm:f>'TC1'!$B14="HANGUP"</xm:f>
            <x14:dxf>
              <font>
                <b/>
                <i val="0"/>
              </font>
            </x14:dxf>
          </x14:cfRule>
          <x14:cfRule type="expression" priority="3503" id="{914DA0E3-B171-4D2D-B60C-185469C36234}">
            <xm:f>'TC1'!$B14="Dial"</xm:f>
            <x14:dxf>
              <font>
                <b/>
                <i val="0"/>
                <color rgb="FFFF0000"/>
              </font>
            </x14:dxf>
          </x14:cfRule>
          <xm:sqref>C34:C43</xm:sqref>
        </x14:conditionalFormatting>
        <x14:conditionalFormatting xmlns:xm="http://schemas.microsoft.com/office/excel/2006/main">
          <x14:cfRule type="expression" priority="3504" id="{ADE530F3-E253-4AAC-81E6-4A9AB2C47015}">
            <xm:f>'TC1'!#REF!="HANGUP"</xm:f>
            <x14:dxf>
              <font>
                <b/>
                <i val="0"/>
              </font>
            </x14:dxf>
          </x14:cfRule>
          <x14:cfRule type="expression" priority="3505" id="{914DA0E3-B171-4D2D-B60C-185469C36234}">
            <xm:f>'TC1'!#REF!="Dial"</xm:f>
            <x14:dxf>
              <font>
                <b/>
                <i val="0"/>
                <color rgb="FFFF0000"/>
              </font>
            </x14:dxf>
          </x14:cfRule>
          <xm:sqref>C13:C33</xm:sqref>
        </x14:conditionalFormatting>
        <x14:conditionalFormatting xmlns:xm="http://schemas.microsoft.com/office/excel/2006/main">
          <x14:cfRule type="expression" priority="3509" id="{CCEDBEEA-A7BB-46EA-8AB0-FDB70E60C014}">
            <xm:f>'TC1'!$B14="Speak"</xm:f>
            <x14:dxf>
              <font>
                <b/>
                <i val="0"/>
                <color rgb="FFFF0000"/>
              </font>
            </x14:dxf>
          </x14:cfRule>
          <xm:sqref>C34:C43</xm:sqref>
        </x14:conditionalFormatting>
        <x14:conditionalFormatting xmlns:xm="http://schemas.microsoft.com/office/excel/2006/main">
          <x14:cfRule type="expression" priority="3510" id="{CCEDBEEA-A7BB-46EA-8AB0-FDB70E60C014}">
            <xm:f>'TC1'!#REF!="Speak"</xm:f>
            <x14:dxf>
              <font>
                <b/>
                <i val="0"/>
                <color rgb="FFFF0000"/>
              </font>
            </x14:dxf>
          </x14:cfRule>
          <xm:sqref>C13:C33</xm:sqref>
        </x14:conditionalFormatting>
        <x14:conditionalFormatting xmlns:xm="http://schemas.microsoft.com/office/excel/2006/main">
          <x14:cfRule type="containsText" priority="3514" operator="containsText" text="DB" id="{DD0E3057-640C-4190-A0BD-258A2F3476BE}">
            <xm:f>NOT(ISERROR(SEARCH("DB",'TC1'!E14)))</xm:f>
            <x14:dxf>
              <font>
                <color rgb="FF006100"/>
              </font>
              <fill>
                <patternFill>
                  <bgColor rgb="FFC6EFCE"/>
                </patternFill>
              </fill>
            </x14:dxf>
          </x14:cfRule>
          <x14:cfRule type="containsText" priority="3515" operator="containsText" text="WEB SERVICE" id="{B8A1F020-57C4-4B36-B3F5-4A0037FF7803}">
            <xm:f>NOT(ISERROR(SEARCH("WEB SERVICE",'TC1'!E14)))</xm:f>
            <x14:dxf>
              <font>
                <color rgb="FF9C0006"/>
              </font>
              <fill>
                <patternFill>
                  <bgColor rgb="FFFFC7CE"/>
                </patternFill>
              </fill>
            </x14:dxf>
          </x14:cfRule>
          <xm:sqref>E34:E43</xm:sqref>
        </x14:conditionalFormatting>
        <x14:conditionalFormatting xmlns:xm="http://schemas.microsoft.com/office/excel/2006/main">
          <x14:cfRule type="containsText" priority="3516" operator="containsText" text="DB" id="{DD0E3057-640C-4190-A0BD-258A2F3476BE}">
            <xm:f>NOT(ISERROR(SEARCH("DB",'TC1'!#REF!)))</xm:f>
            <x14:dxf>
              <font>
                <color rgb="FF006100"/>
              </font>
              <fill>
                <patternFill>
                  <bgColor rgb="FFC6EFCE"/>
                </patternFill>
              </fill>
            </x14:dxf>
          </x14:cfRule>
          <x14:cfRule type="containsText" priority="3517" operator="containsText" text="WEB SERVICE" id="{B8A1F020-57C4-4B36-B3F5-4A0037FF7803}">
            <xm:f>NOT(ISERROR(SEARCH("WEB SERVICE",'TC1'!#REF!)))</xm:f>
            <x14:dxf>
              <font>
                <color rgb="FF9C0006"/>
              </font>
              <fill>
                <patternFill>
                  <bgColor rgb="FFFFC7CE"/>
                </patternFill>
              </fill>
            </x14:dxf>
          </x14:cfRule>
          <xm:sqref>E13:E33</xm:sqref>
        </x14:conditionalFormatting>
        <x14:conditionalFormatting xmlns:xm="http://schemas.microsoft.com/office/excel/2006/main">
          <x14:cfRule type="expression" priority="4672" id="{ADE530F3-E253-4AAC-81E6-4A9AB2C47015}">
            <xm:f>'TC1'!$B10="HANGUP"</xm:f>
            <x14:dxf>
              <font>
                <b/>
                <i val="0"/>
              </font>
            </x14:dxf>
          </x14:cfRule>
          <x14:cfRule type="expression" priority="4673" id="{914DA0E3-B171-4D2D-B60C-185469C36234}">
            <xm:f>'TC1'!$B10="Dial"</xm:f>
            <x14:dxf>
              <font>
                <b/>
                <i val="0"/>
                <color rgb="FFFF0000"/>
              </font>
            </x14:dxf>
          </x14:cfRule>
          <xm:sqref>C9:C12</xm:sqref>
        </x14:conditionalFormatting>
        <x14:conditionalFormatting xmlns:xm="http://schemas.microsoft.com/office/excel/2006/main">
          <x14:cfRule type="expression" priority="4675" id="{CCEDBEEA-A7BB-46EA-8AB0-FDB70E60C014}">
            <xm:f>'TC1'!$B10="Speak"</xm:f>
            <x14:dxf>
              <font>
                <b/>
                <i val="0"/>
                <color rgb="FFFF0000"/>
              </font>
            </x14:dxf>
          </x14:cfRule>
          <xm:sqref>C9:C12</xm:sqref>
        </x14:conditionalFormatting>
        <x14:conditionalFormatting xmlns:xm="http://schemas.microsoft.com/office/excel/2006/main">
          <x14:cfRule type="containsText" priority="6705" operator="containsText" text="Hear" id="{5FF95B07-0AC8-4FA2-9A3B-6E0015D8BC32}">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A00-000000000000}">
  <dimension ref="A1:E44"/>
  <sheetViews>
    <sheetView workbookViewId="0">
      <selection activeCell="A2" sqref="A1:E1048576"/>
    </sheetView>
  </sheetViews>
  <sheetFormatPr defaultRowHeight="15"/>
  <cols>
    <col min="1" max="1" width="14.42578125" style="93" bestFit="1" customWidth="1"/>
    <col min="2" max="2" width="42.7109375" style="93" customWidth="1"/>
    <col min="3" max="3" width="106.28515625" style="93" customWidth="1"/>
    <col min="4" max="4" width="21.7109375" style="93" bestFit="1" customWidth="1"/>
    <col min="5" max="5" width="20.7109375" style="93" customWidth="1"/>
  </cols>
  <sheetData>
    <row r="1" spans="1:5" ht="18.75">
      <c r="A1" s="197" t="s">
        <v>4</v>
      </c>
      <c r="B1" s="197"/>
      <c r="C1" s="101"/>
      <c r="D1" s="107"/>
    </row>
    <row r="2" spans="1:5">
      <c r="A2" s="102" t="s">
        <v>5</v>
      </c>
      <c r="B2" s="103" t="str">
        <f ca="1">MID(CELL("filename",A1),FIND("]",CELL("filename",A1))+1,LEN(CELL("filename",A1))-FIND("]",CELL("filename",A1)))</f>
        <v>TC202</v>
      </c>
      <c r="C2" s="94"/>
      <c r="D2" s="107"/>
    </row>
    <row r="3" spans="1:5">
      <c r="A3" s="100" t="s">
        <v>19</v>
      </c>
      <c r="B3" s="108" t="e">
        <f ca="1">VLOOKUP(B2,Table53[#All],2,FALSE)</f>
        <v>#N/A</v>
      </c>
      <c r="C3" s="94"/>
      <c r="D3" s="107"/>
    </row>
    <row r="4" spans="1:5" ht="30">
      <c r="A4" s="109" t="s">
        <v>20</v>
      </c>
      <c r="B4" s="95" t="e">
        <f ca="1">VLOOKUP(B2,Table53[#All],4,FALSE)</f>
        <v>#N/A</v>
      </c>
      <c r="C4" s="94"/>
      <c r="D4" s="107"/>
    </row>
    <row r="5" spans="1:5">
      <c r="A5" s="100" t="s">
        <v>6</v>
      </c>
      <c r="B5" s="75" t="e">
        <f ca="1">VLOOKUP(B2,Table53[#All],3,FALSE)</f>
        <v>#N/A</v>
      </c>
      <c r="C5" s="94"/>
      <c r="D5" s="107"/>
    </row>
    <row r="6" spans="1:5">
      <c r="C6" s="94"/>
      <c r="D6" s="107"/>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VLOOKUP(Table25751991314010611015115517017820430331228[[#This Row],[PEG]],Table1016[#All],2,FALSE)</f>
        <v>#N/A</v>
      </c>
      <c r="D9" s="125"/>
      <c r="E9" s="122" t="e">
        <f>VLOOKUP(Table25751991314010611015115517017820430331228[[#This Row],[PEG]],Table1016[#All],3,FALSE)</f>
        <v>#N/A</v>
      </c>
    </row>
    <row r="10" spans="1:5">
      <c r="A10" s="114">
        <v>3</v>
      </c>
      <c r="B10" s="110" t="s">
        <v>115</v>
      </c>
      <c r="C10" s="105" t="e">
        <f>VLOOKUP(Table25751991314010611015115517017820430331228[[#This Row],[PEG]],Table1016[#All],2,FALSE)</f>
        <v>#N/A</v>
      </c>
      <c r="D10" s="125"/>
      <c r="E10" s="122" t="e">
        <f>VLOOKUP(Table25751991314010611015115517017820430331228[[#This Row],[PEG]],Table1016[#All],3,FALSE)</f>
        <v>#N/A</v>
      </c>
    </row>
    <row r="11" spans="1:5">
      <c r="A11" s="114">
        <v>4</v>
      </c>
      <c r="B11" s="110" t="s">
        <v>115</v>
      </c>
      <c r="C11" s="105" t="e">
        <f>VLOOKUP(Table25751991314010611015115517017820430331228[[#This Row],[PEG]],Table1016[#All],2,FALSE)</f>
        <v>#N/A</v>
      </c>
      <c r="D11" s="125"/>
      <c r="E11" s="122" t="e">
        <f>VLOOKUP(Table25751991314010611015115517017820430331228[[#This Row],[PEG]],Table1016[#All],3,FALSE)</f>
        <v>#N/A</v>
      </c>
    </row>
    <row r="12" spans="1:5">
      <c r="A12" s="114">
        <v>5</v>
      </c>
      <c r="B12" s="110" t="s">
        <v>114</v>
      </c>
      <c r="C12" s="105" t="e">
        <f>VLOOKUP(Table25751991314010611015115517017820430331228[[#This Row],[PEG]],Table1016[#All],2,FALSE)</f>
        <v>#N/A</v>
      </c>
      <c r="D12" s="125"/>
      <c r="E12" s="122" t="e">
        <f>VLOOKUP(Table25751991314010611015115517017820430331228[[#This Row],[PEG]],Table1016[#All],3,FALSE)</f>
        <v>#N/A</v>
      </c>
    </row>
    <row r="13" spans="1:5">
      <c r="A13" s="114">
        <v>6</v>
      </c>
      <c r="B13" s="110" t="s">
        <v>115</v>
      </c>
      <c r="C13" s="105" t="e">
        <f>VLOOKUP(Table25751991314010611015115517017820430331228[[#This Row],[PEG]],Table1016[#All],2,FALSE)</f>
        <v>#N/A</v>
      </c>
      <c r="D13" s="125"/>
      <c r="E13" s="122" t="e">
        <f>VLOOKUP(Table25751991314010611015115517017820430331228[[#This Row],[PEG]],Table1016[#All],3,FALSE)</f>
        <v>#N/A</v>
      </c>
    </row>
    <row r="14" spans="1:5">
      <c r="A14" s="114">
        <v>7</v>
      </c>
      <c r="B14" s="110" t="s">
        <v>114</v>
      </c>
      <c r="C14" s="105" t="e">
        <f>VLOOKUP(Table25751991314010611015115517017820430331228[[#This Row],[PEG]],Table1016[#All],2,FALSE)</f>
        <v>#N/A</v>
      </c>
      <c r="D14" s="125"/>
      <c r="E14" s="122" t="e">
        <f>VLOOKUP(Table25751991314010611015115517017820430331228[[#This Row],[PEG]],Table1016[#All],3,FALSE)</f>
        <v>#N/A</v>
      </c>
    </row>
    <row r="15" spans="1:5">
      <c r="A15" s="114">
        <v>8</v>
      </c>
      <c r="B15" s="110" t="s">
        <v>115</v>
      </c>
      <c r="C15" s="105" t="e">
        <f>VLOOKUP(Table25751991314010611015115517017820430331228[[#This Row],[PEG]],Table1016[#All],2,FALSE)</f>
        <v>#N/A</v>
      </c>
      <c r="D15" s="112"/>
      <c r="E15" s="122" t="e">
        <f>VLOOKUP(Table25751991314010611015115517017820430331228[[#This Row],[PEG]],Table1016[#All],3,FALSE)</f>
        <v>#N/A</v>
      </c>
    </row>
    <row r="16" spans="1:5">
      <c r="A16" s="114">
        <v>9</v>
      </c>
      <c r="B16" s="110" t="s">
        <v>12</v>
      </c>
      <c r="C16" s="105" t="e">
        <f>VLOOKUP(Table25751991314010611015115517017820430331228[[#This Row],[PEG]],Table1016[#All],2,FALSE)</f>
        <v>#N/A</v>
      </c>
      <c r="D16" s="112"/>
      <c r="E16" s="122" t="e">
        <f>VLOOKUP(Table25751991314010611015115517017820430331228[[#This Row],[PEG]],Table1016[#All],3,FALSE)</f>
        <v>#N/A</v>
      </c>
    </row>
    <row r="17" spans="1:5">
      <c r="A17" s="114">
        <v>10</v>
      </c>
      <c r="B17" s="110" t="s">
        <v>12</v>
      </c>
      <c r="C17" s="105" t="e">
        <f>VLOOKUP(Table25751991314010611015115517017820430331228[[#This Row],[PEG]],Table1016[#All],2,FALSE)</f>
        <v>#N/A</v>
      </c>
      <c r="D17" s="113"/>
      <c r="E17" s="122" t="e">
        <f>VLOOKUP(Table25751991314010611015115517017820430331228[[#This Row],[PEG]],Table1016[#All],3,FALSE)</f>
        <v>#N/A</v>
      </c>
    </row>
    <row r="18" spans="1:5">
      <c r="A18" s="114">
        <v>11</v>
      </c>
      <c r="B18" s="110" t="s">
        <v>115</v>
      </c>
      <c r="C18" s="105" t="e">
        <f>VLOOKUP(Table25751991314010611015115517017820430331228[[#This Row],[PEG]],Table1016[#All],2,FALSE)</f>
        <v>#N/A</v>
      </c>
      <c r="D18" s="113"/>
      <c r="E18" s="122" t="e">
        <f>VLOOKUP(Table25751991314010611015115517017820430331228[[#This Row],[PEG]],Table1016[#All],3,FALSE)</f>
        <v>#N/A</v>
      </c>
    </row>
    <row r="19" spans="1:5">
      <c r="A19" s="114">
        <v>12</v>
      </c>
      <c r="B19" s="110" t="s">
        <v>115</v>
      </c>
      <c r="C19" s="105" t="e">
        <f>VLOOKUP(Table25751991314010611015115517017820430331228[[#This Row],[PEG]],Table1016[#All],2,FALSE)</f>
        <v>#N/A</v>
      </c>
      <c r="D19" s="113"/>
      <c r="E19" s="122" t="e">
        <f>VLOOKUP(Table25751991314010611015115517017820430331228[[#This Row],[PEG]],Table1016[#All],3,FALSE)</f>
        <v>#N/A</v>
      </c>
    </row>
    <row r="20" spans="1:5">
      <c r="A20" s="114">
        <v>13</v>
      </c>
      <c r="B20" s="110" t="s">
        <v>114</v>
      </c>
      <c r="C20" s="105" t="e">
        <f>VLOOKUP(Table25751991314010611015115517017820430331228[[#This Row],[PEG]],Table1016[#All],2,FALSE)</f>
        <v>#N/A</v>
      </c>
      <c r="D20" s="113"/>
      <c r="E20" s="122" t="e">
        <f>VLOOKUP(Table25751991314010611015115517017820430331228[[#This Row],[PEG]],Table1016[#All],3,FALSE)</f>
        <v>#N/A</v>
      </c>
    </row>
    <row r="21" spans="1:5">
      <c r="A21" s="114">
        <v>14</v>
      </c>
      <c r="B21" s="110" t="s">
        <v>12</v>
      </c>
      <c r="C21" s="105" t="e">
        <f>VLOOKUP(Table25751991314010611015115517017820430331228[[#This Row],[PEG]],Table1016[#All],2,FALSE)</f>
        <v>#N/A</v>
      </c>
      <c r="D21" s="113"/>
      <c r="E21" s="122" t="e">
        <f>VLOOKUP(Table25751991314010611015115517017820430331228[[#This Row],[PEG]],Table1016[#All],3,FALSE)</f>
        <v>#N/A</v>
      </c>
    </row>
    <row r="22" spans="1:5">
      <c r="A22" s="114">
        <v>15</v>
      </c>
      <c r="B22" s="110" t="s">
        <v>12</v>
      </c>
      <c r="C22" s="105" t="e">
        <f>VLOOKUP(Table25751991314010611015115517017820430331228[[#This Row],[PEG]],Table1016[#All],2,FALSE)</f>
        <v>#N/A</v>
      </c>
      <c r="D22" s="113"/>
      <c r="E22" s="122" t="e">
        <f>VLOOKUP(Table25751991314010611015115517017820430331228[[#This Row],[PEG]],Table1016[#All],3,FALSE)</f>
        <v>#N/A</v>
      </c>
    </row>
    <row r="23" spans="1:5">
      <c r="A23" s="114">
        <v>16</v>
      </c>
      <c r="B23" s="110" t="s">
        <v>115</v>
      </c>
      <c r="C23" s="105" t="e">
        <f>VLOOKUP(Table25751991314010611015115517017820430331228[[#This Row],[PEG]],Table1016[#All],2,FALSE)</f>
        <v>#N/A</v>
      </c>
      <c r="D23" s="113"/>
      <c r="E23" s="122" t="e">
        <f>VLOOKUP(Table25751991314010611015115517017820430331228[[#This Row],[PEG]],Table1016[#All],3,FALSE)</f>
        <v>#N/A</v>
      </c>
    </row>
    <row r="24" spans="1:5">
      <c r="A24" s="114">
        <v>17</v>
      </c>
      <c r="B24" s="110" t="s">
        <v>114</v>
      </c>
      <c r="C24" s="105" t="e">
        <f>VLOOKUP(Table25751991314010611015115517017820430331228[[#This Row],[PEG]],Table1016[#All],2,FALSE)</f>
        <v>#N/A</v>
      </c>
      <c r="D24" s="113"/>
      <c r="E24" s="122" t="e">
        <f>VLOOKUP(Table25751991314010611015115517017820430331228[[#This Row],[PEG]],Table1016[#All],3,FALSE)</f>
        <v>#N/A</v>
      </c>
    </row>
    <row r="25" spans="1:5">
      <c r="A25" s="114">
        <v>18</v>
      </c>
      <c r="B25" s="110" t="s">
        <v>12</v>
      </c>
      <c r="C25" s="105" t="e">
        <f>VLOOKUP(Table25751991314010611015115517017820430331228[[#This Row],[PEG]],Table1016[#All],2,FALSE)</f>
        <v>#N/A</v>
      </c>
      <c r="D25" s="113"/>
      <c r="E25" s="122" t="e">
        <f>VLOOKUP(Table25751991314010611015115517017820430331228[[#This Row],[PEG]],Table1016[#All],3,FALSE)</f>
        <v>#N/A</v>
      </c>
    </row>
    <row r="26" spans="1:5">
      <c r="A26" s="114">
        <v>19</v>
      </c>
      <c r="B26" s="110" t="s">
        <v>12</v>
      </c>
      <c r="C26" s="105" t="e">
        <f>VLOOKUP(Table25751991314010611015115517017820430331228[[#This Row],[PEG]],Table1016[#All],2,FALSE)</f>
        <v>#N/A</v>
      </c>
      <c r="D26" s="113"/>
      <c r="E26" s="122" t="e">
        <f>VLOOKUP(Table25751991314010611015115517017820430331228[[#This Row],[PEG]],Table1016[#All],3,FALSE)</f>
        <v>#N/A</v>
      </c>
    </row>
    <row r="27" spans="1:5">
      <c r="A27" s="114">
        <v>20</v>
      </c>
      <c r="B27" s="110" t="s">
        <v>115</v>
      </c>
      <c r="C27" s="105" t="e">
        <f>VLOOKUP(Table25751991314010611015115517017820430331228[[#This Row],[PEG]],Table1016[#All],2,FALSE)</f>
        <v>#N/A</v>
      </c>
      <c r="D27" s="113"/>
      <c r="E27" s="122" t="e">
        <f>VLOOKUP(Table25751991314010611015115517017820430331228[[#This Row],[PEG]],Table1016[#All],3,FALSE)</f>
        <v>#N/A</v>
      </c>
    </row>
    <row r="28" spans="1:5">
      <c r="A28" s="114">
        <v>21</v>
      </c>
      <c r="B28" s="110" t="s">
        <v>114</v>
      </c>
      <c r="C28" s="105" t="e">
        <f>VLOOKUP(Table25751991314010611015115517017820430331228[[#This Row],[PEG]],Table1016[#All],2,FALSE)</f>
        <v>#N/A</v>
      </c>
      <c r="D28" s="113"/>
      <c r="E28" s="122" t="e">
        <f>VLOOKUP(Table25751991314010611015115517017820430331228[[#This Row],[PEG]],Table1016[#All],3,FALSE)</f>
        <v>#N/A</v>
      </c>
    </row>
    <row r="29" spans="1:5">
      <c r="A29" s="114">
        <v>22</v>
      </c>
      <c r="B29" s="110" t="s">
        <v>12</v>
      </c>
      <c r="C29" s="105" t="e">
        <f>VLOOKUP(Table25751991314010611015115517017820430331228[[#This Row],[PEG]],Table1016[#All],2,FALSE)</f>
        <v>#N/A</v>
      </c>
      <c r="D29" s="113"/>
      <c r="E29" s="122" t="e">
        <f>VLOOKUP(Table25751991314010611015115517017820430331228[[#This Row],[PEG]],Table1016[#All],3,FALSE)</f>
        <v>#N/A</v>
      </c>
    </row>
    <row r="30" spans="1:5">
      <c r="A30" s="114">
        <v>23</v>
      </c>
      <c r="B30" s="110" t="s">
        <v>12</v>
      </c>
      <c r="C30" s="105" t="e">
        <f>VLOOKUP(Table25751991314010611015115517017820430331228[[#This Row],[PEG]],Table1016[#All],2,FALSE)</f>
        <v>#N/A</v>
      </c>
      <c r="D30" s="113"/>
      <c r="E30" s="122" t="e">
        <f>VLOOKUP(Table25751991314010611015115517017820430331228[[#This Row],[PEG]],Table1016[#All],3,FALSE)</f>
        <v>#N/A</v>
      </c>
    </row>
    <row r="31" spans="1:5">
      <c r="A31" s="114">
        <v>24</v>
      </c>
      <c r="B31" s="110" t="s">
        <v>115</v>
      </c>
      <c r="C31" s="105" t="e">
        <f>VLOOKUP(Table25751991314010611015115517017820430331228[[#This Row],[PEG]],Table1016[#All],2,FALSE)</f>
        <v>#N/A</v>
      </c>
      <c r="D31" s="113"/>
      <c r="E31" s="122" t="e">
        <f>VLOOKUP(Table25751991314010611015115517017820430331228[[#This Row],[PEG]],Table1016[#All],3,FALSE)</f>
        <v>#N/A</v>
      </c>
    </row>
    <row r="32" spans="1:5">
      <c r="A32" s="114">
        <v>25</v>
      </c>
      <c r="B32" s="110" t="s">
        <v>115</v>
      </c>
      <c r="C32" s="105" t="e">
        <f>VLOOKUP(Table25751991314010611015115517017820430331228[[#This Row],[PEG]],Table1016[#All],2,FALSE)</f>
        <v>#N/A</v>
      </c>
      <c r="D32" s="113"/>
      <c r="E32" s="122" t="e">
        <f>VLOOKUP(Table25751991314010611015115517017820430331228[[#This Row],[PEG]],Table1016[#All],3,FALSE)</f>
        <v>#N/A</v>
      </c>
    </row>
    <row r="33" spans="1:5">
      <c r="A33" s="114">
        <v>26</v>
      </c>
      <c r="B33" s="110" t="s">
        <v>124</v>
      </c>
      <c r="C33" s="105" t="e">
        <f>VLOOKUP(Table25751991314010611015115517017820430331228[[#This Row],[PEG]],Table1016[#All],2,FALSE)</f>
        <v>#N/A</v>
      </c>
      <c r="D33" s="113"/>
      <c r="E33" s="122" t="e">
        <f>VLOOKUP(Table25751991314010611015115517017820430331228[[#This Row],[PEG]],Table1016[#All],3,FALSE)</f>
        <v>#N/A</v>
      </c>
    </row>
    <row r="34" spans="1:5">
      <c r="A34" s="114">
        <v>27</v>
      </c>
      <c r="B34" s="110" t="s">
        <v>115</v>
      </c>
      <c r="C34" s="105" t="e">
        <f>VLOOKUP(Table25751991314010611015115517017820430331228[[#This Row],[PEG]],Table1016[#All],2,FALSE)</f>
        <v>#N/A</v>
      </c>
      <c r="D34" s="113"/>
      <c r="E34" s="122" t="e">
        <f>VLOOKUP(Table25751991314010611015115517017820430331228[[#This Row],[PEG]],Table1016[#All],3,FALSE)</f>
        <v>#N/A</v>
      </c>
    </row>
    <row r="35" spans="1:5">
      <c r="A35" s="114">
        <v>28</v>
      </c>
      <c r="B35" s="110" t="s">
        <v>124</v>
      </c>
      <c r="C35" s="105" t="e">
        <f>VLOOKUP(Table25751991314010611015115517017820430331228[[#This Row],[PEG]],Table1016[#All],2,FALSE)</f>
        <v>#N/A</v>
      </c>
      <c r="D35" s="113"/>
      <c r="E35" s="122" t="e">
        <f>VLOOKUP(Table25751991314010611015115517017820430331228[[#This Row],[PEG]],Table1016[#All],3,FALSE)</f>
        <v>#N/A</v>
      </c>
    </row>
    <row r="36" spans="1:5">
      <c r="A36" s="114">
        <v>29</v>
      </c>
      <c r="B36" s="110" t="s">
        <v>115</v>
      </c>
      <c r="C36" s="105" t="e">
        <f>VLOOKUP(Table25751991314010611015115517017820430331228[[#This Row],[PEG]],Table1016[#All],2,FALSE)</f>
        <v>#N/A</v>
      </c>
      <c r="D36" s="113"/>
      <c r="E36" s="122" t="e">
        <f>VLOOKUP(Table25751991314010611015115517017820430331228[[#This Row],[PEG]],Table1016[#All],3,FALSE)</f>
        <v>#N/A</v>
      </c>
    </row>
    <row r="37" spans="1:5">
      <c r="A37" s="114">
        <v>30</v>
      </c>
      <c r="B37" s="110" t="s">
        <v>12</v>
      </c>
      <c r="C37" s="105" t="e">
        <f>VLOOKUP(Table25751991314010611015115517017820430331228[[#This Row],[PEG]],Table1016[#All],2,FALSE)</f>
        <v>#N/A</v>
      </c>
      <c r="D37" s="113"/>
      <c r="E37" s="122" t="e">
        <f>VLOOKUP(Table25751991314010611015115517017820430331228[[#This Row],[PEG]],Table1016[#All],3,FALSE)</f>
        <v>#N/A</v>
      </c>
    </row>
    <row r="38" spans="1:5">
      <c r="A38" s="114">
        <v>31</v>
      </c>
      <c r="B38" s="110" t="s">
        <v>12</v>
      </c>
      <c r="C38" s="105" t="e">
        <f>VLOOKUP(Table25751991314010611015115517017820430331228[[#This Row],[PEG]],Table1016[#All],2,FALSE)</f>
        <v>#N/A</v>
      </c>
      <c r="D38" s="113"/>
      <c r="E38" s="122" t="e">
        <f>VLOOKUP(Table25751991314010611015115517017820430331228[[#This Row],[PEG]],Table1016[#All],3,FALSE)</f>
        <v>#N/A</v>
      </c>
    </row>
    <row r="39" spans="1:5">
      <c r="A39" s="114">
        <v>32</v>
      </c>
      <c r="B39" s="110" t="s">
        <v>12</v>
      </c>
      <c r="C39" s="105" t="e">
        <f>VLOOKUP(Table25751991314010611015115517017820430331228[[#This Row],[PEG]],Table1016[#All],2,FALSE)</f>
        <v>#N/A</v>
      </c>
      <c r="D39" s="113"/>
      <c r="E39" s="122" t="e">
        <f>VLOOKUP(Table25751991314010611015115517017820430331228[[#This Row],[PEG]],Table1016[#All],3,FALSE)</f>
        <v>#N/A</v>
      </c>
    </row>
    <row r="40" spans="1:5">
      <c r="A40" s="114">
        <v>33</v>
      </c>
      <c r="B40" s="110" t="s">
        <v>12</v>
      </c>
      <c r="C40" s="105" t="e">
        <f>VLOOKUP(Table25751991314010611015115517017820430331228[[#This Row],[PEG]],Table1016[#All],2,FALSE)</f>
        <v>#N/A</v>
      </c>
      <c r="D40" s="113"/>
      <c r="E40" s="122" t="e">
        <f>VLOOKUP(Table25751991314010611015115517017820430331228[[#This Row],[PEG]],Table1016[#All],3,FALSE)</f>
        <v>#N/A</v>
      </c>
    </row>
    <row r="41" spans="1:5">
      <c r="A41" s="114">
        <v>34</v>
      </c>
      <c r="B41" s="110" t="s">
        <v>115</v>
      </c>
      <c r="C41" s="105" t="e">
        <f>VLOOKUP(Table25751991314010611015115517017820430331228[[#This Row],[PEG]],Table1016[#All],2,FALSE)</f>
        <v>#N/A</v>
      </c>
      <c r="D41" s="113"/>
      <c r="E41" s="122" t="e">
        <f>VLOOKUP(Table25751991314010611015115517017820430331228[[#This Row],[PEG]],Table1016[#All],3,FALSE)</f>
        <v>#N/A</v>
      </c>
    </row>
    <row r="42" spans="1:5">
      <c r="A42" s="114">
        <v>35</v>
      </c>
      <c r="B42" s="110" t="s">
        <v>12</v>
      </c>
      <c r="C42" s="105" t="e">
        <f>VLOOKUP(Table25751991314010611015115517017820430331228[[#This Row],[PEG]],Table1016[#All],2,FALSE)</f>
        <v>#N/A</v>
      </c>
      <c r="D42" s="111"/>
      <c r="E42" s="122" t="e">
        <f>VLOOKUP(Table25751991314010611015115517017820430331228[[#This Row],[PEG]],Table1016[#All],3,FALSE)</f>
        <v>#N/A</v>
      </c>
    </row>
    <row r="43" spans="1:5">
      <c r="A43" s="114">
        <v>36</v>
      </c>
      <c r="B43" s="110" t="s">
        <v>115</v>
      </c>
      <c r="C43" s="105" t="e">
        <f>VLOOKUP(Table25751991314010611015115517017820430331228[[#This Row],[PEG]],Table1016[#All],2,FALSE)</f>
        <v>#N/A</v>
      </c>
      <c r="D43" s="111"/>
      <c r="E43" s="122" t="e">
        <f>VLOOKUP(Table25751991314010611015115517017820430331228[[#This Row],[PEG]],Table1016[#All],3,FALSE)</f>
        <v>#N/A</v>
      </c>
    </row>
    <row r="44" spans="1:5">
      <c r="A44" s="114">
        <v>37</v>
      </c>
      <c r="B44" s="110" t="s">
        <v>13</v>
      </c>
      <c r="C44" s="17" t="s">
        <v>13</v>
      </c>
      <c r="D44" s="111"/>
      <c r="E44" s="31"/>
    </row>
  </sheetData>
  <mergeCells count="1">
    <mergeCell ref="A1:B1"/>
  </mergeCells>
  <conditionalFormatting sqref="B8:B18">
    <cfRule type="containsText" dxfId="81" priority="1" operator="containsText" text="Hear">
      <formula>NOT(ISERROR(SEARCH("Hear",B8)))</formula>
    </cfRule>
  </conditionalFormatting>
  <conditionalFormatting sqref="B30">
    <cfRule type="containsText" dxfId="80" priority="4" operator="containsText" text="Hear">
      <formula>NOT(ISERROR(SEARCH("Hear",B30)))</formula>
    </cfRule>
  </conditionalFormatting>
  <conditionalFormatting sqref="B43:B44">
    <cfRule type="containsText" dxfId="79" priority="8" operator="containsText" text="Hear">
      <formula>NOT(ISERROR(SEARCH("Hear",B43)))</formula>
    </cfRule>
  </conditionalFormatting>
  <conditionalFormatting sqref="E44">
    <cfRule type="containsText" dxfId="78" priority="6" operator="containsText" text="WEB SERVICE">
      <formula>NOT(ISERROR(SEARCH("WEB SERVICE",E44)))</formula>
    </cfRule>
    <cfRule type="containsText" dxfId="77" priority="7" operator="containsText" text="DB">
      <formula>NOT(ISERROR(SEARCH("DB",E44)))</formula>
    </cfRule>
  </conditionalFormatting>
  <conditionalFormatting sqref="C44">
    <cfRule type="expression" dxfId="76" priority="9">
      <formula>$B44="HANGUP"</formula>
    </cfRule>
  </conditionalFormatting>
  <conditionalFormatting sqref="C44">
    <cfRule type="expression" dxfId="75" priority="3">
      <formula>$B44="Speak"</formula>
    </cfRule>
  </conditionalFormatting>
  <conditionalFormatting sqref="B36:B38 B40:B41">
    <cfRule type="containsText" dxfId="74" priority="2" operator="containsText" text="Hear">
      <formula>NOT(ISERROR(SEARCH("Hear",B36)))</formula>
    </cfRule>
  </conditionalFormatting>
  <conditionalFormatting sqref="B19:B29 B31:B35 B42">
    <cfRule type="containsText" dxfId="73" priority="5" operator="containsText" text="Hear">
      <formula>NOT(ISERROR(SEARCH("Hear",B19)))</formula>
    </cfRule>
  </conditionalFormatting>
  <hyperlinks>
    <hyperlink ref="A1" location="'Test Case Overview'!A1" display="Return to Test Case Overview" xr:uid="{00000000-0004-0000-CA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0" id="{839982C9-196F-405C-B2B7-7A3ABDB19DA4}">
            <xm:f>'TC1'!$B8="HANGUP"</xm:f>
            <x14:dxf>
              <font>
                <b/>
                <i val="0"/>
              </font>
            </x14:dxf>
          </x14:cfRule>
          <x14:cfRule type="expression" priority="15" id="{4D74BE96-BD8E-4BAF-A679-A83373AF328C}">
            <xm:f>'TC1'!$B8="Dial"</xm:f>
            <x14:dxf>
              <font>
                <b/>
                <i val="0"/>
                <color rgb="FFFF0000"/>
              </font>
            </x14:dxf>
          </x14:cfRule>
          <xm:sqref>C8</xm:sqref>
        </x14:conditionalFormatting>
        <x14:conditionalFormatting xmlns:xm="http://schemas.microsoft.com/office/excel/2006/main">
          <x14:cfRule type="expression" priority="14" id="{1BAF0D46-25D9-4B9B-8886-6B395687A985}">
            <xm:f>'TC1'!$B8="Speak"</xm:f>
            <x14:dxf>
              <font>
                <b/>
                <i val="0"/>
                <color rgb="FFFF0000"/>
              </font>
            </x14:dxf>
          </x14:cfRule>
          <xm:sqref>C8</xm:sqref>
        </x14:conditionalFormatting>
        <x14:conditionalFormatting xmlns:xm="http://schemas.microsoft.com/office/excel/2006/main">
          <x14:cfRule type="containsText" priority="12" operator="containsText" text="DB" id="{19B740C2-B584-4A55-BE99-13B6186A8827}">
            <xm:f>NOT(ISERROR(SEARCH("DB",'TC1'!E10)))</xm:f>
            <x14:dxf>
              <font>
                <color rgb="FF006100"/>
              </font>
              <fill>
                <patternFill>
                  <bgColor rgb="FFC6EFCE"/>
                </patternFill>
              </fill>
            </x14:dxf>
          </x14:cfRule>
          <x14:cfRule type="containsText" priority="13" operator="containsText" text="WEB SERVICE" id="{221E90F1-10A0-4CBB-8BCD-5CC6E109B3C4}">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containsText" priority="16" operator="containsText" text="Hear" id="{49C7AE0C-90F0-4011-88F2-D8B01EAA8CA8}">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522" id="{839982C9-196F-405C-B2B7-7A3ABDB19DA4}">
            <xm:f>'TC1'!$B14="HANGUP"</xm:f>
            <x14:dxf>
              <font>
                <b/>
                <i val="0"/>
              </font>
            </x14:dxf>
          </x14:cfRule>
          <x14:cfRule type="expression" priority="3523" id="{4D74BE96-BD8E-4BAF-A679-A83373AF328C}">
            <xm:f>'TC1'!$B14="Dial"</xm:f>
            <x14:dxf>
              <font>
                <b/>
                <i val="0"/>
                <color rgb="FFFF0000"/>
              </font>
            </x14:dxf>
          </x14:cfRule>
          <xm:sqref>C34:C43</xm:sqref>
        </x14:conditionalFormatting>
        <x14:conditionalFormatting xmlns:xm="http://schemas.microsoft.com/office/excel/2006/main">
          <x14:cfRule type="expression" priority="3524" id="{839982C9-196F-405C-B2B7-7A3ABDB19DA4}">
            <xm:f>'TC1'!#REF!="HANGUP"</xm:f>
            <x14:dxf>
              <font>
                <b/>
                <i val="0"/>
              </font>
            </x14:dxf>
          </x14:cfRule>
          <x14:cfRule type="expression" priority="3525" id="{4D74BE96-BD8E-4BAF-A679-A83373AF328C}">
            <xm:f>'TC1'!#REF!="Dial"</xm:f>
            <x14:dxf>
              <font>
                <b/>
                <i val="0"/>
                <color rgb="FFFF0000"/>
              </font>
            </x14:dxf>
          </x14:cfRule>
          <xm:sqref>C13:C33</xm:sqref>
        </x14:conditionalFormatting>
        <x14:conditionalFormatting xmlns:xm="http://schemas.microsoft.com/office/excel/2006/main">
          <x14:cfRule type="expression" priority="3529" id="{1BAF0D46-25D9-4B9B-8886-6B395687A985}">
            <xm:f>'TC1'!$B14="Speak"</xm:f>
            <x14:dxf>
              <font>
                <b/>
                <i val="0"/>
                <color rgb="FFFF0000"/>
              </font>
            </x14:dxf>
          </x14:cfRule>
          <xm:sqref>C34:C43</xm:sqref>
        </x14:conditionalFormatting>
        <x14:conditionalFormatting xmlns:xm="http://schemas.microsoft.com/office/excel/2006/main">
          <x14:cfRule type="expression" priority="3530" id="{1BAF0D46-25D9-4B9B-8886-6B395687A985}">
            <xm:f>'TC1'!#REF!="Speak"</xm:f>
            <x14:dxf>
              <font>
                <b/>
                <i val="0"/>
                <color rgb="FFFF0000"/>
              </font>
            </x14:dxf>
          </x14:cfRule>
          <xm:sqref>C13:C33</xm:sqref>
        </x14:conditionalFormatting>
        <x14:conditionalFormatting xmlns:xm="http://schemas.microsoft.com/office/excel/2006/main">
          <x14:cfRule type="containsText" priority="3534" operator="containsText" text="DB" id="{19B740C2-B584-4A55-BE99-13B6186A8827}">
            <xm:f>NOT(ISERROR(SEARCH("DB",'TC1'!E14)))</xm:f>
            <x14:dxf>
              <font>
                <color rgb="FF006100"/>
              </font>
              <fill>
                <patternFill>
                  <bgColor rgb="FFC6EFCE"/>
                </patternFill>
              </fill>
            </x14:dxf>
          </x14:cfRule>
          <x14:cfRule type="containsText" priority="3535" operator="containsText" text="WEB SERVICE" id="{221E90F1-10A0-4CBB-8BCD-5CC6E109B3C4}">
            <xm:f>NOT(ISERROR(SEARCH("WEB SERVICE",'TC1'!E14)))</xm:f>
            <x14:dxf>
              <font>
                <color rgb="FF9C0006"/>
              </font>
              <fill>
                <patternFill>
                  <bgColor rgb="FFFFC7CE"/>
                </patternFill>
              </fill>
            </x14:dxf>
          </x14:cfRule>
          <xm:sqref>E34:E43</xm:sqref>
        </x14:conditionalFormatting>
        <x14:conditionalFormatting xmlns:xm="http://schemas.microsoft.com/office/excel/2006/main">
          <x14:cfRule type="containsText" priority="3536" operator="containsText" text="DB" id="{19B740C2-B584-4A55-BE99-13B6186A8827}">
            <xm:f>NOT(ISERROR(SEARCH("DB",'TC1'!#REF!)))</xm:f>
            <x14:dxf>
              <font>
                <color rgb="FF006100"/>
              </font>
              <fill>
                <patternFill>
                  <bgColor rgb="FFC6EFCE"/>
                </patternFill>
              </fill>
            </x14:dxf>
          </x14:cfRule>
          <x14:cfRule type="containsText" priority="3537" operator="containsText" text="WEB SERVICE" id="{221E90F1-10A0-4CBB-8BCD-5CC6E109B3C4}">
            <xm:f>NOT(ISERROR(SEARCH("WEB SERVICE",'TC1'!#REF!)))</xm:f>
            <x14:dxf>
              <font>
                <color rgb="FF9C0006"/>
              </font>
              <fill>
                <patternFill>
                  <bgColor rgb="FFFFC7CE"/>
                </patternFill>
              </fill>
            </x14:dxf>
          </x14:cfRule>
          <xm:sqref>E13:E33</xm:sqref>
        </x14:conditionalFormatting>
        <x14:conditionalFormatting xmlns:xm="http://schemas.microsoft.com/office/excel/2006/main">
          <x14:cfRule type="expression" priority="4680" id="{839982C9-196F-405C-B2B7-7A3ABDB19DA4}">
            <xm:f>'TC1'!$B10="HANGUP"</xm:f>
            <x14:dxf>
              <font>
                <b/>
                <i val="0"/>
              </font>
            </x14:dxf>
          </x14:cfRule>
          <x14:cfRule type="expression" priority="4681" id="{4D74BE96-BD8E-4BAF-A679-A83373AF328C}">
            <xm:f>'TC1'!$B10="Dial"</xm:f>
            <x14:dxf>
              <font>
                <b/>
                <i val="0"/>
                <color rgb="FFFF0000"/>
              </font>
            </x14:dxf>
          </x14:cfRule>
          <xm:sqref>C9:C12</xm:sqref>
        </x14:conditionalFormatting>
        <x14:conditionalFormatting xmlns:xm="http://schemas.microsoft.com/office/excel/2006/main">
          <x14:cfRule type="expression" priority="4683" id="{1BAF0D46-25D9-4B9B-8886-6B395687A985}">
            <xm:f>'TC1'!$B10="Speak"</xm:f>
            <x14:dxf>
              <font>
                <b/>
                <i val="0"/>
                <color rgb="FFFF0000"/>
              </font>
            </x14:dxf>
          </x14:cfRule>
          <xm:sqref>C9:C12</xm:sqref>
        </x14:conditionalFormatting>
        <x14:conditionalFormatting xmlns:xm="http://schemas.microsoft.com/office/excel/2006/main">
          <x14:cfRule type="containsText" priority="6720" operator="containsText" text="Hear" id="{E0C1FB8D-F6D7-406E-A3AB-7CA77B3C4EE9}">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B00-000000000000}">
  <dimension ref="A1:E44"/>
  <sheetViews>
    <sheetView workbookViewId="0">
      <selection activeCell="C18" sqref="C18"/>
    </sheetView>
  </sheetViews>
  <sheetFormatPr defaultRowHeight="15"/>
  <cols>
    <col min="1" max="1" width="14.42578125" style="93" bestFit="1" customWidth="1"/>
    <col min="2" max="2" width="42.7109375" style="93" customWidth="1"/>
    <col min="3" max="3" width="106.28515625" style="93" customWidth="1"/>
    <col min="4" max="4" width="21.7109375" style="93" bestFit="1" customWidth="1"/>
    <col min="5" max="5" width="20.7109375" style="93" customWidth="1"/>
  </cols>
  <sheetData>
    <row r="1" spans="1:5" ht="18.75">
      <c r="A1" s="197" t="s">
        <v>4</v>
      </c>
      <c r="B1" s="197"/>
      <c r="C1" s="101"/>
      <c r="D1" s="107"/>
    </row>
    <row r="2" spans="1:5">
      <c r="A2" s="102" t="s">
        <v>5</v>
      </c>
      <c r="B2" s="103" t="str">
        <f ca="1">MID(CELL("filename",A1),FIND("]",CELL("filename",A1))+1,LEN(CELL("filename",A1))-FIND("]",CELL("filename",A1)))</f>
        <v>TC203</v>
      </c>
      <c r="C2" s="94"/>
      <c r="D2" s="107"/>
    </row>
    <row r="3" spans="1:5">
      <c r="A3" s="100" t="s">
        <v>19</v>
      </c>
      <c r="B3" s="108" t="e">
        <f ca="1">VLOOKUP(B2,Table53[#All],2,FALSE)</f>
        <v>#N/A</v>
      </c>
      <c r="C3" s="94"/>
      <c r="D3" s="107"/>
    </row>
    <row r="4" spans="1:5" ht="30">
      <c r="A4" s="109" t="s">
        <v>20</v>
      </c>
      <c r="B4" s="95" t="e">
        <f ca="1">VLOOKUP(B2,Table53[#All],4,FALSE)</f>
        <v>#N/A</v>
      </c>
      <c r="C4" s="94"/>
      <c r="D4" s="107"/>
    </row>
    <row r="5" spans="1:5">
      <c r="A5" s="100" t="s">
        <v>6</v>
      </c>
      <c r="B5" s="75" t="e">
        <f ca="1">VLOOKUP(B2,Table53[#All],3,FALSE)</f>
        <v>#N/A</v>
      </c>
      <c r="C5" s="94"/>
      <c r="D5" s="107"/>
    </row>
    <row r="6" spans="1:5">
      <c r="C6" s="94"/>
      <c r="D6" s="107"/>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e">
        <f>VLOOKUP(Table2575199131401061101511551701782043033122830[[#This Row],[PEG]],Table1016[#All],2,FALSE)</f>
        <v>#N/A</v>
      </c>
      <c r="D9" s="125" t="s">
        <v>314</v>
      </c>
      <c r="E9" s="122" t="e">
        <f>VLOOKUP(Table2575199131401061101511551701782043033122830[[#This Row],[PEG]],Table1016[#All],3,FALSE)</f>
        <v>#N/A</v>
      </c>
    </row>
    <row r="10" spans="1:5">
      <c r="A10" s="114">
        <v>3</v>
      </c>
      <c r="B10" s="110" t="s">
        <v>115</v>
      </c>
      <c r="C10" s="105" t="e">
        <f>VLOOKUP(Table2575199131401061101511551701782043033122830[[#This Row],[PEG]],Table1016[#All],2,FALSE)</f>
        <v>#N/A</v>
      </c>
      <c r="D10" s="125">
        <v>1000</v>
      </c>
      <c r="E10" s="122" t="e">
        <f>VLOOKUP(Table2575199131401061101511551701782043033122830[[#This Row],[PEG]],Table1016[#All],3,FALSE)</f>
        <v>#N/A</v>
      </c>
    </row>
    <row r="11" spans="1:5">
      <c r="A11" s="114">
        <v>4</v>
      </c>
      <c r="B11" s="110" t="s">
        <v>114</v>
      </c>
      <c r="C11" s="105" t="e">
        <f>VLOOKUP(Table2575199131401061101511551701782043033122830[[#This Row],[PEG]],Table1016[#All],2,FALSE)</f>
        <v>#N/A</v>
      </c>
      <c r="D11" s="125"/>
      <c r="E11" s="122" t="e">
        <f>VLOOKUP(Table2575199131401061101511551701782043033122830[[#This Row],[PEG]],Table1016[#All],3,FALSE)</f>
        <v>#N/A</v>
      </c>
    </row>
    <row r="12" spans="1:5">
      <c r="A12" s="114">
        <v>5</v>
      </c>
      <c r="B12" s="110" t="s">
        <v>114</v>
      </c>
      <c r="C12" s="105" t="e">
        <f>VLOOKUP(Table2575199131401061101511551701782043033122830[[#This Row],[PEG]],Table1016[#All],2,FALSE)</f>
        <v>#N/A</v>
      </c>
      <c r="D12" s="125"/>
      <c r="E12" s="122" t="e">
        <f>VLOOKUP(Table2575199131401061101511551701782043033122830[[#This Row],[PEG]],Table1016[#All],3,FALSE)</f>
        <v>#N/A</v>
      </c>
    </row>
    <row r="13" spans="1:5">
      <c r="A13" s="114">
        <v>6</v>
      </c>
      <c r="B13" s="110" t="s">
        <v>115</v>
      </c>
      <c r="C13" s="105" t="e">
        <f>VLOOKUP(Table2575199131401061101511551701782043033122830[[#This Row],[PEG]],Table1016[#All],2,FALSE)</f>
        <v>#N/A</v>
      </c>
      <c r="D13" s="125"/>
      <c r="E13" s="122" t="e">
        <f>VLOOKUP(Table2575199131401061101511551701782043033122830[[#This Row],[PEG]],Table1016[#All],3,FALSE)</f>
        <v>#N/A</v>
      </c>
    </row>
    <row r="14" spans="1:5">
      <c r="A14" s="114">
        <v>7</v>
      </c>
      <c r="B14" s="110" t="s">
        <v>114</v>
      </c>
      <c r="C14" s="105" t="e">
        <f>VLOOKUP(Table2575199131401061101511551701782043033122830[[#This Row],[PEG]],Table1016[#All],2,FALSE)</f>
        <v>#N/A</v>
      </c>
      <c r="D14" s="125"/>
      <c r="E14" s="122" t="e">
        <f>VLOOKUP(Table2575199131401061101511551701782043033122830[[#This Row],[PEG]],Table1016[#All],3,FALSE)</f>
        <v>#N/A</v>
      </c>
    </row>
    <row r="15" spans="1:5">
      <c r="A15" s="114">
        <v>8</v>
      </c>
      <c r="B15" s="110" t="s">
        <v>115</v>
      </c>
      <c r="C15" s="105" t="e">
        <f>VLOOKUP(Table2575199131401061101511551701782043033122830[[#This Row],[PEG]],Table1016[#All],2,FALSE)</f>
        <v>#N/A</v>
      </c>
      <c r="D15" s="112"/>
      <c r="E15" s="122" t="e">
        <f>VLOOKUP(Table2575199131401061101511551701782043033122830[[#This Row],[PEG]],Table1016[#All],3,FALSE)</f>
        <v>#N/A</v>
      </c>
    </row>
    <row r="16" spans="1:5">
      <c r="A16" s="114">
        <v>9</v>
      </c>
      <c r="B16" s="110" t="s">
        <v>12</v>
      </c>
      <c r="C16" s="105" t="e">
        <f>VLOOKUP(Table2575199131401061101511551701782043033122830[[#This Row],[PEG]],Table1016[#All],2,FALSE)</f>
        <v>#N/A</v>
      </c>
      <c r="D16" s="112"/>
      <c r="E16" s="122" t="e">
        <f>VLOOKUP(Table2575199131401061101511551701782043033122830[[#This Row],[PEG]],Table1016[#All],3,FALSE)</f>
        <v>#N/A</v>
      </c>
    </row>
    <row r="17" spans="1:5">
      <c r="A17" s="114">
        <v>10</v>
      </c>
      <c r="B17" s="110" t="s">
        <v>12</v>
      </c>
      <c r="C17" s="105" t="e">
        <f>VLOOKUP(Table2575199131401061101511551701782043033122830[[#This Row],[PEG]],Table1016[#All],2,FALSE)</f>
        <v>#N/A</v>
      </c>
      <c r="D17" s="113"/>
      <c r="E17" s="122" t="e">
        <f>VLOOKUP(Table2575199131401061101511551701782043033122830[[#This Row],[PEG]],Table1016[#All],3,FALSE)</f>
        <v>#N/A</v>
      </c>
    </row>
    <row r="18" spans="1:5">
      <c r="A18" s="114">
        <v>11</v>
      </c>
      <c r="B18" s="110" t="s">
        <v>115</v>
      </c>
      <c r="C18" s="105" t="e">
        <f>VLOOKUP(Table2575199131401061101511551701782043033122830[[#This Row],[PEG]],Table1016[#All],2,FALSE)</f>
        <v>#N/A</v>
      </c>
      <c r="D18" s="113"/>
      <c r="E18" s="122" t="e">
        <f>VLOOKUP(Table2575199131401061101511551701782043033122830[[#This Row],[PEG]],Table1016[#All],3,FALSE)</f>
        <v>#N/A</v>
      </c>
    </row>
    <row r="19" spans="1:5">
      <c r="A19" s="114">
        <v>12</v>
      </c>
      <c r="B19" s="110" t="s">
        <v>115</v>
      </c>
      <c r="C19" s="105" t="e">
        <f>VLOOKUP(Table2575199131401061101511551701782043033122830[[#This Row],[PEG]],Table1016[#All],2,FALSE)</f>
        <v>#N/A</v>
      </c>
      <c r="D19" s="113"/>
      <c r="E19" s="122" t="e">
        <f>VLOOKUP(Table2575199131401061101511551701782043033122830[[#This Row],[PEG]],Table1016[#All],3,FALSE)</f>
        <v>#N/A</v>
      </c>
    </row>
    <row r="20" spans="1:5">
      <c r="A20" s="114">
        <v>13</v>
      </c>
      <c r="B20" s="110" t="s">
        <v>114</v>
      </c>
      <c r="C20" s="105" t="e">
        <f>VLOOKUP(Table2575199131401061101511551701782043033122830[[#This Row],[PEG]],Table1016[#All],2,FALSE)</f>
        <v>#N/A</v>
      </c>
      <c r="D20" s="113"/>
      <c r="E20" s="122" t="e">
        <f>VLOOKUP(Table2575199131401061101511551701782043033122830[[#This Row],[PEG]],Table1016[#All],3,FALSE)</f>
        <v>#N/A</v>
      </c>
    </row>
    <row r="21" spans="1:5">
      <c r="A21" s="114">
        <v>14</v>
      </c>
      <c r="B21" s="110" t="s">
        <v>12</v>
      </c>
      <c r="C21" s="105" t="e">
        <f>VLOOKUP(Table2575199131401061101511551701782043033122830[[#This Row],[PEG]],Table1016[#All],2,FALSE)</f>
        <v>#N/A</v>
      </c>
      <c r="D21" s="113"/>
      <c r="E21" s="122" t="e">
        <f>VLOOKUP(Table2575199131401061101511551701782043033122830[[#This Row],[PEG]],Table1016[#All],3,FALSE)</f>
        <v>#N/A</v>
      </c>
    </row>
    <row r="22" spans="1:5">
      <c r="A22" s="114">
        <v>15</v>
      </c>
      <c r="B22" s="110" t="s">
        <v>12</v>
      </c>
      <c r="C22" s="105" t="e">
        <f>VLOOKUP(Table2575199131401061101511551701782043033122830[[#This Row],[PEG]],Table1016[#All],2,FALSE)</f>
        <v>#N/A</v>
      </c>
      <c r="D22" s="113"/>
      <c r="E22" s="122" t="e">
        <f>VLOOKUP(Table2575199131401061101511551701782043033122830[[#This Row],[PEG]],Table1016[#All],3,FALSE)</f>
        <v>#N/A</v>
      </c>
    </row>
    <row r="23" spans="1:5">
      <c r="A23" s="114">
        <v>16</v>
      </c>
      <c r="B23" s="110" t="s">
        <v>115</v>
      </c>
      <c r="C23" s="105" t="e">
        <f>VLOOKUP(Table2575199131401061101511551701782043033122830[[#This Row],[PEG]],Table1016[#All],2,FALSE)</f>
        <v>#N/A</v>
      </c>
      <c r="D23" s="113"/>
      <c r="E23" s="122" t="e">
        <f>VLOOKUP(Table2575199131401061101511551701782043033122830[[#This Row],[PEG]],Table1016[#All],3,FALSE)</f>
        <v>#N/A</v>
      </c>
    </row>
    <row r="24" spans="1:5">
      <c r="A24" s="114">
        <v>17</v>
      </c>
      <c r="B24" s="110" t="s">
        <v>124</v>
      </c>
      <c r="C24" s="105" t="s">
        <v>315</v>
      </c>
      <c r="D24" s="113"/>
      <c r="E24" s="122" t="e">
        <f>VLOOKUP(Table2575199131401061101511551701782043033122830[[#This Row],[PEG]],Table1016[#All],3,FALSE)</f>
        <v>#N/A</v>
      </c>
    </row>
    <row r="25" spans="1:5">
      <c r="A25" s="114">
        <v>18</v>
      </c>
      <c r="B25" s="110" t="s">
        <v>12</v>
      </c>
      <c r="C25" s="105" t="e">
        <f>VLOOKUP(Table2575199131401061101511551701782043033122830[[#This Row],[PEG]],Table1016[#All],2,FALSE)</f>
        <v>#N/A</v>
      </c>
      <c r="D25" s="113"/>
      <c r="E25" s="122" t="e">
        <f>VLOOKUP(Table2575199131401061101511551701782043033122830[[#This Row],[PEG]],Table1016[#All],3,FALSE)</f>
        <v>#N/A</v>
      </c>
    </row>
    <row r="26" spans="1:5">
      <c r="A26" s="114">
        <v>19</v>
      </c>
      <c r="B26" s="110" t="s">
        <v>12</v>
      </c>
      <c r="C26" s="105" t="e">
        <f>VLOOKUP(Table2575199131401061101511551701782043033122830[[#This Row],[PEG]],Table1016[#All],2,FALSE)</f>
        <v>#N/A</v>
      </c>
      <c r="D26" s="113"/>
      <c r="E26" s="122" t="e">
        <f>VLOOKUP(Table2575199131401061101511551701782043033122830[[#This Row],[PEG]],Table1016[#All],3,FALSE)</f>
        <v>#N/A</v>
      </c>
    </row>
    <row r="27" spans="1:5">
      <c r="A27" s="114">
        <v>20</v>
      </c>
      <c r="B27" s="110" t="s">
        <v>115</v>
      </c>
      <c r="C27" s="105" t="e">
        <f>VLOOKUP(Table2575199131401061101511551701782043033122830[[#This Row],[PEG]],Table1016[#All],2,FALSE)</f>
        <v>#N/A</v>
      </c>
      <c r="D27" s="113"/>
      <c r="E27" s="122" t="e">
        <f>VLOOKUP(Table2575199131401061101511551701782043033122830[[#This Row],[PEG]],Table1016[#All],3,FALSE)</f>
        <v>#N/A</v>
      </c>
    </row>
    <row r="28" spans="1:5">
      <c r="A28" s="114">
        <v>21</v>
      </c>
      <c r="B28" s="110" t="s">
        <v>114</v>
      </c>
      <c r="C28" s="105" t="e">
        <f>VLOOKUP(Table2575199131401061101511551701782043033122830[[#This Row],[PEG]],Table1016[#All],2,FALSE)</f>
        <v>#N/A</v>
      </c>
      <c r="D28" s="113"/>
      <c r="E28" s="122" t="e">
        <f>VLOOKUP(Table2575199131401061101511551701782043033122830[[#This Row],[PEG]],Table1016[#All],3,FALSE)</f>
        <v>#N/A</v>
      </c>
    </row>
    <row r="29" spans="1:5">
      <c r="A29" s="114">
        <v>22</v>
      </c>
      <c r="B29" s="110" t="s">
        <v>12</v>
      </c>
      <c r="C29" s="105" t="e">
        <f>VLOOKUP(Table2575199131401061101511551701782043033122830[[#This Row],[PEG]],Table1016[#All],2,FALSE)</f>
        <v>#N/A</v>
      </c>
      <c r="D29" s="113"/>
      <c r="E29" s="122" t="e">
        <f>VLOOKUP(Table2575199131401061101511551701782043033122830[[#This Row],[PEG]],Table1016[#All],3,FALSE)</f>
        <v>#N/A</v>
      </c>
    </row>
    <row r="30" spans="1:5">
      <c r="A30" s="114">
        <v>23</v>
      </c>
      <c r="B30" s="110" t="s">
        <v>12</v>
      </c>
      <c r="C30" s="105" t="e">
        <f>VLOOKUP(Table2575199131401061101511551701782043033122830[[#This Row],[PEG]],Table1016[#All],2,FALSE)</f>
        <v>#N/A</v>
      </c>
      <c r="D30" s="113"/>
      <c r="E30" s="122" t="e">
        <f>VLOOKUP(Table2575199131401061101511551701782043033122830[[#This Row],[PEG]],Table1016[#All],3,FALSE)</f>
        <v>#N/A</v>
      </c>
    </row>
    <row r="31" spans="1:5">
      <c r="A31" s="114">
        <v>24</v>
      </c>
      <c r="B31" s="110" t="s">
        <v>115</v>
      </c>
      <c r="C31" s="105" t="e">
        <f>VLOOKUP(Table2575199131401061101511551701782043033122830[[#This Row],[PEG]],Table1016[#All],2,FALSE)</f>
        <v>#N/A</v>
      </c>
      <c r="D31" s="113"/>
      <c r="E31" s="122" t="e">
        <f>VLOOKUP(Table2575199131401061101511551701782043033122830[[#This Row],[PEG]],Table1016[#All],3,FALSE)</f>
        <v>#N/A</v>
      </c>
    </row>
    <row r="32" spans="1:5">
      <c r="A32" s="114">
        <v>25</v>
      </c>
      <c r="B32" s="110" t="s">
        <v>115</v>
      </c>
      <c r="C32" s="105" t="e">
        <f>VLOOKUP(Table2575199131401061101511551701782043033122830[[#This Row],[PEG]],Table1016[#All],2,FALSE)</f>
        <v>#N/A</v>
      </c>
      <c r="D32" s="113"/>
      <c r="E32" s="122" t="e">
        <f>VLOOKUP(Table2575199131401061101511551701782043033122830[[#This Row],[PEG]],Table1016[#All],3,FALSE)</f>
        <v>#N/A</v>
      </c>
    </row>
    <row r="33" spans="1:5">
      <c r="A33" s="114">
        <v>26</v>
      </c>
      <c r="B33" s="110" t="s">
        <v>124</v>
      </c>
      <c r="C33" s="105" t="e">
        <f>VLOOKUP(Table2575199131401061101511551701782043033122830[[#This Row],[PEG]],Table1016[#All],2,FALSE)</f>
        <v>#N/A</v>
      </c>
      <c r="D33" s="113"/>
      <c r="E33" s="122" t="e">
        <f>VLOOKUP(Table2575199131401061101511551701782043033122830[[#This Row],[PEG]],Table1016[#All],3,FALSE)</f>
        <v>#N/A</v>
      </c>
    </row>
    <row r="34" spans="1:5">
      <c r="A34" s="114">
        <v>27</v>
      </c>
      <c r="B34" s="110" t="s">
        <v>115</v>
      </c>
      <c r="C34" s="105" t="e">
        <f>VLOOKUP(Table2575199131401061101511551701782043033122830[[#This Row],[PEG]],Table1016[#All],2,FALSE)</f>
        <v>#N/A</v>
      </c>
      <c r="D34" s="113"/>
      <c r="E34" s="122" t="e">
        <f>VLOOKUP(Table2575199131401061101511551701782043033122830[[#This Row],[PEG]],Table1016[#All],3,FALSE)</f>
        <v>#N/A</v>
      </c>
    </row>
    <row r="35" spans="1:5">
      <c r="A35" s="114">
        <v>28</v>
      </c>
      <c r="B35" s="110" t="s">
        <v>124</v>
      </c>
      <c r="C35" s="105" t="e">
        <f>VLOOKUP(Table2575199131401061101511551701782043033122830[[#This Row],[PEG]],Table1016[#All],2,FALSE)</f>
        <v>#N/A</v>
      </c>
      <c r="D35" s="113"/>
      <c r="E35" s="122" t="e">
        <f>VLOOKUP(Table2575199131401061101511551701782043033122830[[#This Row],[PEG]],Table1016[#All],3,FALSE)</f>
        <v>#N/A</v>
      </c>
    </row>
    <row r="36" spans="1:5">
      <c r="A36" s="114">
        <v>29</v>
      </c>
      <c r="B36" s="110" t="s">
        <v>115</v>
      </c>
      <c r="C36" s="105" t="e">
        <f>VLOOKUP(Table2575199131401061101511551701782043033122830[[#This Row],[PEG]],Table1016[#All],2,FALSE)</f>
        <v>#N/A</v>
      </c>
      <c r="D36" s="113"/>
      <c r="E36" s="122" t="e">
        <f>VLOOKUP(Table2575199131401061101511551701782043033122830[[#This Row],[PEG]],Table1016[#All],3,FALSE)</f>
        <v>#N/A</v>
      </c>
    </row>
    <row r="37" spans="1:5">
      <c r="A37" s="114">
        <v>30</v>
      </c>
      <c r="B37" s="110" t="s">
        <v>12</v>
      </c>
      <c r="C37" s="105" t="e">
        <f>VLOOKUP(Table2575199131401061101511551701782043033122830[[#This Row],[PEG]],Table1016[#All],2,FALSE)</f>
        <v>#N/A</v>
      </c>
      <c r="D37" s="113"/>
      <c r="E37" s="122" t="e">
        <f>VLOOKUP(Table2575199131401061101511551701782043033122830[[#This Row],[PEG]],Table1016[#All],3,FALSE)</f>
        <v>#N/A</v>
      </c>
    </row>
    <row r="38" spans="1:5">
      <c r="A38" s="114">
        <v>31</v>
      </c>
      <c r="B38" s="110" t="s">
        <v>12</v>
      </c>
      <c r="C38" s="105" t="e">
        <f>VLOOKUP(Table2575199131401061101511551701782043033122830[[#This Row],[PEG]],Table1016[#All],2,FALSE)</f>
        <v>#N/A</v>
      </c>
      <c r="D38" s="113"/>
      <c r="E38" s="122" t="e">
        <f>VLOOKUP(Table2575199131401061101511551701782043033122830[[#This Row],[PEG]],Table1016[#All],3,FALSE)</f>
        <v>#N/A</v>
      </c>
    </row>
    <row r="39" spans="1:5">
      <c r="A39" s="114">
        <v>32</v>
      </c>
      <c r="B39" s="110" t="s">
        <v>12</v>
      </c>
      <c r="C39" s="105" t="e">
        <f>VLOOKUP(Table2575199131401061101511551701782043033122830[[#This Row],[PEG]],Table1016[#All],2,FALSE)</f>
        <v>#N/A</v>
      </c>
      <c r="D39" s="113"/>
      <c r="E39" s="122" t="e">
        <f>VLOOKUP(Table2575199131401061101511551701782043033122830[[#This Row],[PEG]],Table1016[#All],3,FALSE)</f>
        <v>#N/A</v>
      </c>
    </row>
    <row r="40" spans="1:5">
      <c r="A40" s="114">
        <v>33</v>
      </c>
      <c r="B40" s="110" t="s">
        <v>12</v>
      </c>
      <c r="C40" s="105" t="e">
        <f>VLOOKUP(Table2575199131401061101511551701782043033122830[[#This Row],[PEG]],Table1016[#All],2,FALSE)</f>
        <v>#N/A</v>
      </c>
      <c r="D40" s="113"/>
      <c r="E40" s="122" t="e">
        <f>VLOOKUP(Table2575199131401061101511551701782043033122830[[#This Row],[PEG]],Table1016[#All],3,FALSE)</f>
        <v>#N/A</v>
      </c>
    </row>
    <row r="41" spans="1:5">
      <c r="A41" s="114">
        <v>34</v>
      </c>
      <c r="B41" s="110" t="s">
        <v>115</v>
      </c>
      <c r="C41" s="105" t="e">
        <f>VLOOKUP(Table2575199131401061101511551701782043033122830[[#This Row],[PEG]],Table1016[#All],2,FALSE)</f>
        <v>#N/A</v>
      </c>
      <c r="D41" s="113"/>
      <c r="E41" s="122" t="e">
        <f>VLOOKUP(Table2575199131401061101511551701782043033122830[[#This Row],[PEG]],Table1016[#All],3,FALSE)</f>
        <v>#N/A</v>
      </c>
    </row>
    <row r="42" spans="1:5">
      <c r="A42" s="114">
        <v>35</v>
      </c>
      <c r="B42" s="110" t="s">
        <v>12</v>
      </c>
      <c r="C42" s="105" t="e">
        <f>VLOOKUP(Table2575199131401061101511551701782043033122830[[#This Row],[PEG]],Table1016[#All],2,FALSE)</f>
        <v>#N/A</v>
      </c>
      <c r="D42" s="111"/>
      <c r="E42" s="122" t="e">
        <f>VLOOKUP(Table2575199131401061101511551701782043033122830[[#This Row],[PEG]],Table1016[#All],3,FALSE)</f>
        <v>#N/A</v>
      </c>
    </row>
    <row r="43" spans="1:5">
      <c r="A43" s="114">
        <v>36</v>
      </c>
      <c r="B43" s="110" t="s">
        <v>115</v>
      </c>
      <c r="C43" s="105" t="e">
        <f>VLOOKUP(Table2575199131401061101511551701782043033122830[[#This Row],[PEG]],Table1016[#All],2,FALSE)</f>
        <v>#N/A</v>
      </c>
      <c r="D43" s="111"/>
      <c r="E43" s="122" t="e">
        <f>VLOOKUP(Table2575199131401061101511551701782043033122830[[#This Row],[PEG]],Table1016[#All],3,FALSE)</f>
        <v>#N/A</v>
      </c>
    </row>
    <row r="44" spans="1:5">
      <c r="A44" s="114">
        <v>37</v>
      </c>
      <c r="B44" s="110" t="s">
        <v>13</v>
      </c>
      <c r="C44" s="17" t="s">
        <v>13</v>
      </c>
      <c r="D44" s="111"/>
      <c r="E44" s="31"/>
    </row>
  </sheetData>
  <mergeCells count="1">
    <mergeCell ref="A1:B1"/>
  </mergeCells>
  <conditionalFormatting sqref="B8:B18">
    <cfRule type="containsText" dxfId="43" priority="1" operator="containsText" text="Hear">
      <formula>NOT(ISERROR(SEARCH("Hear",B8)))</formula>
    </cfRule>
  </conditionalFormatting>
  <conditionalFormatting sqref="B30">
    <cfRule type="containsText" dxfId="42" priority="4" operator="containsText" text="Hear">
      <formula>NOT(ISERROR(SEARCH("Hear",B30)))</formula>
    </cfRule>
  </conditionalFormatting>
  <conditionalFormatting sqref="B43:B44">
    <cfRule type="containsText" dxfId="41" priority="8" operator="containsText" text="Hear">
      <formula>NOT(ISERROR(SEARCH("Hear",B43)))</formula>
    </cfRule>
  </conditionalFormatting>
  <conditionalFormatting sqref="E44">
    <cfRule type="containsText" dxfId="40" priority="6" operator="containsText" text="WEB SERVICE">
      <formula>NOT(ISERROR(SEARCH("WEB SERVICE",E44)))</formula>
    </cfRule>
    <cfRule type="containsText" dxfId="39" priority="7" operator="containsText" text="DB">
      <formula>NOT(ISERROR(SEARCH("DB",E44)))</formula>
    </cfRule>
  </conditionalFormatting>
  <conditionalFormatting sqref="C44">
    <cfRule type="expression" dxfId="38" priority="9">
      <formula>$B44="HANGUP"</formula>
    </cfRule>
    <cfRule type="expression" dxfId="37" priority="11">
      <formula>$B44="Dial"</formula>
    </cfRule>
  </conditionalFormatting>
  <conditionalFormatting sqref="C44">
    <cfRule type="expression" dxfId="36" priority="3">
      <formula>$B44="Speak"</formula>
    </cfRule>
  </conditionalFormatting>
  <conditionalFormatting sqref="B36:B38 B40:B41">
    <cfRule type="containsText" dxfId="35" priority="2" operator="containsText" text="Hear">
      <formula>NOT(ISERROR(SEARCH("Hear",B36)))</formula>
    </cfRule>
  </conditionalFormatting>
  <conditionalFormatting sqref="B19:B29 B31:B35 B42">
    <cfRule type="containsText" dxfId="34" priority="5" operator="containsText" text="Hear">
      <formula>NOT(ISERROR(SEARCH("Hear",B19)))</formula>
    </cfRule>
  </conditionalFormatting>
  <hyperlinks>
    <hyperlink ref="A1" location="'Test Case Overview'!A1" display="Return to Test Case Overview" xr:uid="{00000000-0004-0000-CB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0" id="{1E81D52B-1528-4125-8ED6-D89088DA17E1}">
            <xm:f>'TC1'!$B8="HANGUP"</xm:f>
            <x14:dxf>
              <font>
                <b/>
                <i val="0"/>
              </font>
            </x14:dxf>
          </x14:cfRule>
          <x14:cfRule type="expression" priority="15" id="{48B110B6-1044-40CA-BB71-8053C4769A4F}">
            <xm:f>'TC1'!$B8="Dial"</xm:f>
            <x14:dxf>
              <font>
                <b/>
                <i val="0"/>
                <color rgb="FFFF0000"/>
              </font>
            </x14:dxf>
          </x14:cfRule>
          <xm:sqref>C8</xm:sqref>
        </x14:conditionalFormatting>
        <x14:conditionalFormatting xmlns:xm="http://schemas.microsoft.com/office/excel/2006/main">
          <x14:cfRule type="expression" priority="14" id="{1E58C830-4A99-48F0-B292-F3369D427795}">
            <xm:f>'TC1'!$B8="Speak"</xm:f>
            <x14:dxf>
              <font>
                <b/>
                <i val="0"/>
                <color rgb="FFFF0000"/>
              </font>
            </x14:dxf>
          </x14:cfRule>
          <xm:sqref>C8</xm:sqref>
        </x14:conditionalFormatting>
        <x14:conditionalFormatting xmlns:xm="http://schemas.microsoft.com/office/excel/2006/main">
          <x14:cfRule type="containsText" priority="12" operator="containsText" text="DB" id="{DA83247F-D7E5-4632-833E-8A44B39E76D3}">
            <xm:f>NOT(ISERROR(SEARCH("DB",'TC1'!E10)))</xm:f>
            <x14:dxf>
              <font>
                <color rgb="FF006100"/>
              </font>
              <fill>
                <patternFill>
                  <bgColor rgb="FFC6EFCE"/>
                </patternFill>
              </fill>
            </x14:dxf>
          </x14:cfRule>
          <x14:cfRule type="containsText" priority="13" operator="containsText" text="WEB SERVICE" id="{1802C8E7-25B6-462A-A44F-8B01D2A442E3}">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containsText" priority="17" operator="containsText" text="Hear" id="{A3FD379B-895D-47F0-9E40-BFDCEC1213BE}">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542" id="{1E81D52B-1528-4125-8ED6-D89088DA17E1}">
            <xm:f>'TC1'!$B14="HANGUP"</xm:f>
            <x14:dxf>
              <font>
                <b/>
                <i val="0"/>
              </font>
            </x14:dxf>
          </x14:cfRule>
          <x14:cfRule type="expression" priority="3543" id="{48B110B6-1044-40CA-BB71-8053C4769A4F}">
            <xm:f>'TC1'!$B14="Dial"</xm:f>
            <x14:dxf>
              <font>
                <b/>
                <i val="0"/>
                <color rgb="FFFF0000"/>
              </font>
            </x14:dxf>
          </x14:cfRule>
          <xm:sqref>C34:C43</xm:sqref>
        </x14:conditionalFormatting>
        <x14:conditionalFormatting xmlns:xm="http://schemas.microsoft.com/office/excel/2006/main">
          <x14:cfRule type="expression" priority="3544" id="{1E81D52B-1528-4125-8ED6-D89088DA17E1}">
            <xm:f>'TC1'!#REF!="HANGUP"</xm:f>
            <x14:dxf>
              <font>
                <b/>
                <i val="0"/>
              </font>
            </x14:dxf>
          </x14:cfRule>
          <x14:cfRule type="expression" priority="3545" id="{48B110B6-1044-40CA-BB71-8053C4769A4F}">
            <xm:f>'TC1'!#REF!="Dial"</xm:f>
            <x14:dxf>
              <font>
                <b/>
                <i val="0"/>
                <color rgb="FFFF0000"/>
              </font>
            </x14:dxf>
          </x14:cfRule>
          <xm:sqref>C13:C33</xm:sqref>
        </x14:conditionalFormatting>
        <x14:conditionalFormatting xmlns:xm="http://schemas.microsoft.com/office/excel/2006/main">
          <x14:cfRule type="expression" priority="3549" id="{1E58C830-4A99-48F0-B292-F3369D427795}">
            <xm:f>'TC1'!$B14="Speak"</xm:f>
            <x14:dxf>
              <font>
                <b/>
                <i val="0"/>
                <color rgb="FFFF0000"/>
              </font>
            </x14:dxf>
          </x14:cfRule>
          <xm:sqref>C34:C43</xm:sqref>
        </x14:conditionalFormatting>
        <x14:conditionalFormatting xmlns:xm="http://schemas.microsoft.com/office/excel/2006/main">
          <x14:cfRule type="expression" priority="3550" id="{1E58C830-4A99-48F0-B292-F3369D427795}">
            <xm:f>'TC1'!#REF!="Speak"</xm:f>
            <x14:dxf>
              <font>
                <b/>
                <i val="0"/>
                <color rgb="FFFF0000"/>
              </font>
            </x14:dxf>
          </x14:cfRule>
          <xm:sqref>C13:C33</xm:sqref>
        </x14:conditionalFormatting>
        <x14:conditionalFormatting xmlns:xm="http://schemas.microsoft.com/office/excel/2006/main">
          <x14:cfRule type="containsText" priority="3554" operator="containsText" text="DB" id="{DA83247F-D7E5-4632-833E-8A44B39E76D3}">
            <xm:f>NOT(ISERROR(SEARCH("DB",'TC1'!E14)))</xm:f>
            <x14:dxf>
              <font>
                <color rgb="FF006100"/>
              </font>
              <fill>
                <patternFill>
                  <bgColor rgb="FFC6EFCE"/>
                </patternFill>
              </fill>
            </x14:dxf>
          </x14:cfRule>
          <x14:cfRule type="containsText" priority="3555" operator="containsText" text="WEB SERVICE" id="{1802C8E7-25B6-462A-A44F-8B01D2A442E3}">
            <xm:f>NOT(ISERROR(SEARCH("WEB SERVICE",'TC1'!E14)))</xm:f>
            <x14:dxf>
              <font>
                <color rgb="FF9C0006"/>
              </font>
              <fill>
                <patternFill>
                  <bgColor rgb="FFFFC7CE"/>
                </patternFill>
              </fill>
            </x14:dxf>
          </x14:cfRule>
          <xm:sqref>E34:E43</xm:sqref>
        </x14:conditionalFormatting>
        <x14:conditionalFormatting xmlns:xm="http://schemas.microsoft.com/office/excel/2006/main">
          <x14:cfRule type="containsText" priority="3556" operator="containsText" text="DB" id="{DA83247F-D7E5-4632-833E-8A44B39E76D3}">
            <xm:f>NOT(ISERROR(SEARCH("DB",'TC1'!#REF!)))</xm:f>
            <x14:dxf>
              <font>
                <color rgb="FF006100"/>
              </font>
              <fill>
                <patternFill>
                  <bgColor rgb="FFC6EFCE"/>
                </patternFill>
              </fill>
            </x14:dxf>
          </x14:cfRule>
          <x14:cfRule type="containsText" priority="3557" operator="containsText" text="WEB SERVICE" id="{1802C8E7-25B6-462A-A44F-8B01D2A442E3}">
            <xm:f>NOT(ISERROR(SEARCH("WEB SERVICE",'TC1'!#REF!)))</xm:f>
            <x14:dxf>
              <font>
                <color rgb="FF9C0006"/>
              </font>
              <fill>
                <patternFill>
                  <bgColor rgb="FFFFC7CE"/>
                </patternFill>
              </fill>
            </x14:dxf>
          </x14:cfRule>
          <xm:sqref>E13:E33</xm:sqref>
        </x14:conditionalFormatting>
        <x14:conditionalFormatting xmlns:xm="http://schemas.microsoft.com/office/excel/2006/main">
          <x14:cfRule type="expression" priority="4688" id="{1E81D52B-1528-4125-8ED6-D89088DA17E1}">
            <xm:f>'TC1'!$B10="HANGUP"</xm:f>
            <x14:dxf>
              <font>
                <b/>
                <i val="0"/>
              </font>
            </x14:dxf>
          </x14:cfRule>
          <x14:cfRule type="expression" priority="4689" id="{48B110B6-1044-40CA-BB71-8053C4769A4F}">
            <xm:f>'TC1'!$B10="Dial"</xm:f>
            <x14:dxf>
              <font>
                <b/>
                <i val="0"/>
                <color rgb="FFFF0000"/>
              </font>
            </x14:dxf>
          </x14:cfRule>
          <xm:sqref>C9:C12</xm:sqref>
        </x14:conditionalFormatting>
        <x14:conditionalFormatting xmlns:xm="http://schemas.microsoft.com/office/excel/2006/main">
          <x14:cfRule type="expression" priority="4691" id="{1E58C830-4A99-48F0-B292-F3369D427795}">
            <xm:f>'TC1'!$B10="Speak"</xm:f>
            <x14:dxf>
              <font>
                <b/>
                <i val="0"/>
                <color rgb="FFFF0000"/>
              </font>
            </x14:dxf>
          </x14:cfRule>
          <xm:sqref>C9:C12</xm:sqref>
        </x14:conditionalFormatting>
        <x14:conditionalFormatting xmlns:xm="http://schemas.microsoft.com/office/excel/2006/main">
          <x14:cfRule type="containsText" priority="6735" operator="containsText" text="Hear" id="{E6FE1948-340F-4CBE-A2C5-7FC122F69FD2}">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C00-000000000000}">
  <sheetPr codeName="Sheet3"/>
  <dimension ref="A1:D381"/>
  <sheetViews>
    <sheetView zoomScaleNormal="100" workbookViewId="0">
      <selection activeCell="B60" sqref="B60"/>
    </sheetView>
  </sheetViews>
  <sheetFormatPr defaultRowHeight="15"/>
  <cols>
    <col min="1" max="1" width="23.28515625" style="29" customWidth="1"/>
    <col min="2" max="2" width="91.85546875" style="41" customWidth="1"/>
    <col min="3" max="3" width="34.28515625" style="28" customWidth="1"/>
    <col min="4" max="4" width="17" style="41" customWidth="1"/>
  </cols>
  <sheetData>
    <row r="1" spans="1:4">
      <c r="A1" s="29" t="s">
        <v>15</v>
      </c>
      <c r="B1" s="27" t="s">
        <v>16</v>
      </c>
      <c r="C1" s="30" t="s">
        <v>126</v>
      </c>
      <c r="D1" s="27" t="s">
        <v>17</v>
      </c>
    </row>
    <row r="2" spans="1:4">
      <c r="A2" s="117">
        <v>100</v>
      </c>
      <c r="B2" s="118" t="s">
        <v>621</v>
      </c>
      <c r="C2" s="115" t="s">
        <v>198</v>
      </c>
      <c r="D2" s="21"/>
    </row>
    <row r="3" spans="1:4" s="93" customFormat="1">
      <c r="A3" s="117">
        <v>110</v>
      </c>
      <c r="B3" s="120" t="s">
        <v>191</v>
      </c>
      <c r="C3" s="115" t="s">
        <v>190</v>
      </c>
      <c r="D3" s="116"/>
    </row>
    <row r="4" spans="1:4" s="93" customFormat="1">
      <c r="A4" s="117">
        <v>120</v>
      </c>
      <c r="B4" s="118" t="s">
        <v>192</v>
      </c>
      <c r="C4" s="115" t="s">
        <v>190</v>
      </c>
      <c r="D4" s="116"/>
    </row>
    <row r="5" spans="1:4" s="93" customFormat="1">
      <c r="A5" s="117">
        <v>130</v>
      </c>
      <c r="B5" s="118" t="s">
        <v>193</v>
      </c>
      <c r="C5" s="115" t="s">
        <v>198</v>
      </c>
      <c r="D5" s="116"/>
    </row>
    <row r="6" spans="1:4" s="93" customFormat="1">
      <c r="A6" s="117">
        <v>200</v>
      </c>
      <c r="B6" s="118" t="s">
        <v>194</v>
      </c>
      <c r="C6" s="115" t="s">
        <v>190</v>
      </c>
      <c r="D6" s="116"/>
    </row>
    <row r="7" spans="1:4" s="93" customFormat="1">
      <c r="A7" s="117" t="s">
        <v>195</v>
      </c>
      <c r="B7" s="118" t="s">
        <v>196</v>
      </c>
      <c r="C7" s="115" t="s">
        <v>197</v>
      </c>
      <c r="D7" s="28"/>
    </row>
    <row r="8" spans="1:4" s="41" customFormat="1">
      <c r="A8" s="117">
        <v>210</v>
      </c>
      <c r="B8" s="118" t="s">
        <v>199</v>
      </c>
      <c r="C8" s="115" t="s">
        <v>190</v>
      </c>
      <c r="D8" s="28"/>
    </row>
    <row r="9" spans="1:4" s="41" customFormat="1">
      <c r="A9" s="117">
        <v>220</v>
      </c>
      <c r="B9" s="118" t="s">
        <v>200</v>
      </c>
      <c r="C9" s="115" t="s">
        <v>190</v>
      </c>
      <c r="D9" s="28"/>
    </row>
    <row r="10" spans="1:4">
      <c r="A10" s="117">
        <v>300</v>
      </c>
      <c r="B10" s="118" t="s">
        <v>201</v>
      </c>
      <c r="C10" s="115" t="s">
        <v>190</v>
      </c>
      <c r="D10" s="28"/>
    </row>
    <row r="11" spans="1:4">
      <c r="A11" s="117" t="s">
        <v>202</v>
      </c>
      <c r="B11" s="118" t="s">
        <v>203</v>
      </c>
      <c r="C11" s="115" t="s">
        <v>197</v>
      </c>
      <c r="D11" s="28"/>
    </row>
    <row r="12" spans="1:4">
      <c r="A12" s="117" t="s">
        <v>204</v>
      </c>
      <c r="B12" s="118" t="s">
        <v>205</v>
      </c>
      <c r="C12" s="115" t="s">
        <v>197</v>
      </c>
      <c r="D12" s="28"/>
    </row>
    <row r="13" spans="1:4" s="41" customFormat="1" ht="16.5">
      <c r="A13" s="117">
        <v>310</v>
      </c>
      <c r="B13" s="118" t="s">
        <v>498</v>
      </c>
      <c r="C13" s="115" t="s">
        <v>198</v>
      </c>
      <c r="D13" s="28"/>
    </row>
    <row r="14" spans="1:4">
      <c r="A14" s="117">
        <v>315</v>
      </c>
      <c r="B14" s="118" t="s">
        <v>206</v>
      </c>
      <c r="C14" s="115" t="s">
        <v>190</v>
      </c>
      <c r="D14" s="21"/>
    </row>
    <row r="15" spans="1:4">
      <c r="A15" s="117" t="s">
        <v>207</v>
      </c>
      <c r="B15" s="118" t="s">
        <v>208</v>
      </c>
      <c r="C15" s="115" t="s">
        <v>197</v>
      </c>
      <c r="D15" s="28"/>
    </row>
    <row r="16" spans="1:4">
      <c r="A16" s="117" t="s">
        <v>209</v>
      </c>
      <c r="B16" s="118" t="s">
        <v>210</v>
      </c>
      <c r="C16" s="115" t="s">
        <v>198</v>
      </c>
      <c r="D16" s="28"/>
    </row>
    <row r="17" spans="1:4" ht="16.5">
      <c r="A17" s="117">
        <v>320</v>
      </c>
      <c r="B17" s="118" t="s">
        <v>211</v>
      </c>
      <c r="C17" s="115" t="s">
        <v>190</v>
      </c>
      <c r="D17" s="28"/>
    </row>
    <row r="18" spans="1:4" ht="33">
      <c r="A18" s="117" t="s">
        <v>212</v>
      </c>
      <c r="B18" s="118" t="s">
        <v>213</v>
      </c>
      <c r="C18" s="115" t="s">
        <v>198</v>
      </c>
      <c r="D18" s="28"/>
    </row>
    <row r="19" spans="1:4" ht="33.75" thickBot="1">
      <c r="A19" s="128" t="s">
        <v>214</v>
      </c>
      <c r="B19" s="118" t="s">
        <v>215</v>
      </c>
      <c r="C19" s="115" t="s">
        <v>198</v>
      </c>
      <c r="D19" s="28"/>
    </row>
    <row r="20" spans="1:4" ht="17.25" thickBot="1">
      <c r="A20" s="129" t="s">
        <v>218</v>
      </c>
      <c r="B20" s="118" t="s">
        <v>216</v>
      </c>
      <c r="C20" s="115" t="s">
        <v>198</v>
      </c>
      <c r="D20" s="28"/>
    </row>
    <row r="21" spans="1:4" ht="33">
      <c r="A21" s="117" t="s">
        <v>219</v>
      </c>
      <c r="B21" s="118" t="s">
        <v>217</v>
      </c>
      <c r="C21" s="115" t="s">
        <v>198</v>
      </c>
      <c r="D21" s="28"/>
    </row>
    <row r="22" spans="1:4" ht="24.75">
      <c r="A22" s="117" t="s">
        <v>220</v>
      </c>
      <c r="B22" s="118" t="s">
        <v>221</v>
      </c>
      <c r="C22" s="115" t="s">
        <v>198</v>
      </c>
      <c r="D22" s="28"/>
    </row>
    <row r="23" spans="1:4" ht="16.5">
      <c r="A23" s="117" t="s">
        <v>222</v>
      </c>
      <c r="B23" s="118" t="s">
        <v>223</v>
      </c>
      <c r="C23" s="115" t="s">
        <v>198</v>
      </c>
      <c r="D23" s="28"/>
    </row>
    <row r="24" spans="1:4" ht="41.25">
      <c r="A24" s="117" t="s">
        <v>224</v>
      </c>
      <c r="B24" s="118" t="s">
        <v>225</v>
      </c>
      <c r="C24" s="115" t="s">
        <v>198</v>
      </c>
      <c r="D24" s="28"/>
    </row>
    <row r="25" spans="1:4" ht="33">
      <c r="A25" s="117" t="s">
        <v>226</v>
      </c>
      <c r="B25" s="118" t="s">
        <v>227</v>
      </c>
      <c r="C25" s="115" t="s">
        <v>198</v>
      </c>
      <c r="D25" s="28"/>
    </row>
    <row r="26" spans="1:4" ht="33">
      <c r="A26" s="117" t="s">
        <v>228</v>
      </c>
      <c r="B26" s="118" t="s">
        <v>229</v>
      </c>
      <c r="C26" s="115" t="s">
        <v>198</v>
      </c>
      <c r="D26" s="28"/>
    </row>
    <row r="27" spans="1:4" s="39" customFormat="1" ht="33">
      <c r="A27" s="117" t="s">
        <v>230</v>
      </c>
      <c r="B27" s="118" t="s">
        <v>215</v>
      </c>
      <c r="C27" s="115" t="s">
        <v>198</v>
      </c>
      <c r="D27" s="28"/>
    </row>
    <row r="28" spans="1:4" s="39" customFormat="1" ht="24.75">
      <c r="A28" s="117" t="s">
        <v>231</v>
      </c>
      <c r="B28" s="118" t="s">
        <v>232</v>
      </c>
      <c r="C28" s="115" t="s">
        <v>198</v>
      </c>
      <c r="D28" s="28"/>
    </row>
    <row r="29" spans="1:4" s="39" customFormat="1" ht="33">
      <c r="A29" s="117" t="s">
        <v>233</v>
      </c>
      <c r="B29" s="118" t="s">
        <v>234</v>
      </c>
      <c r="C29" s="115" t="s">
        <v>198</v>
      </c>
      <c r="D29" s="28"/>
    </row>
    <row r="30" spans="1:4" s="39" customFormat="1" ht="24.75">
      <c r="A30" s="117" t="s">
        <v>235</v>
      </c>
      <c r="B30" s="118" t="s">
        <v>236</v>
      </c>
      <c r="C30" s="115" t="s">
        <v>198</v>
      </c>
      <c r="D30" s="28"/>
    </row>
    <row r="31" spans="1:4" s="39" customFormat="1" ht="33">
      <c r="A31" s="117" t="s">
        <v>237</v>
      </c>
      <c r="B31" s="118" t="s">
        <v>238</v>
      </c>
      <c r="C31" s="115" t="s">
        <v>198</v>
      </c>
      <c r="D31" s="28"/>
    </row>
    <row r="32" spans="1:4" s="39" customFormat="1" ht="16.5">
      <c r="A32" s="117" t="s">
        <v>239</v>
      </c>
      <c r="B32" s="118" t="s">
        <v>241</v>
      </c>
      <c r="C32" s="115" t="s">
        <v>198</v>
      </c>
      <c r="D32" s="28"/>
    </row>
    <row r="33" spans="1:4" ht="16.5">
      <c r="A33" s="117" t="s">
        <v>242</v>
      </c>
      <c r="B33" s="118" t="s">
        <v>243</v>
      </c>
      <c r="C33" s="115" t="s">
        <v>198</v>
      </c>
      <c r="D33" s="28"/>
    </row>
    <row r="34" spans="1:4" ht="33">
      <c r="A34" s="117" t="s">
        <v>244</v>
      </c>
      <c r="B34" s="118" t="s">
        <v>238</v>
      </c>
      <c r="C34" s="115" t="s">
        <v>198</v>
      </c>
      <c r="D34" s="28"/>
    </row>
    <row r="35" spans="1:4" ht="16.5">
      <c r="A35" s="117" t="s">
        <v>245</v>
      </c>
      <c r="B35" s="118" t="s">
        <v>240</v>
      </c>
      <c r="C35" s="115" t="s">
        <v>198</v>
      </c>
      <c r="D35" s="28"/>
    </row>
    <row r="36" spans="1:4" s="93" customFormat="1" ht="16.5">
      <c r="A36" s="117" t="s">
        <v>246</v>
      </c>
      <c r="B36" s="118" t="s">
        <v>243</v>
      </c>
      <c r="C36" s="115" t="s">
        <v>198</v>
      </c>
      <c r="D36" s="116"/>
    </row>
    <row r="37" spans="1:4" ht="33">
      <c r="A37" s="117" t="s">
        <v>247</v>
      </c>
      <c r="B37" s="118" t="s">
        <v>248</v>
      </c>
      <c r="C37" s="115" t="s">
        <v>198</v>
      </c>
      <c r="D37" s="28"/>
    </row>
    <row r="38" spans="1:4" ht="33">
      <c r="A38" s="117" t="s">
        <v>249</v>
      </c>
      <c r="B38" s="118" t="s">
        <v>316</v>
      </c>
      <c r="C38" s="115" t="s">
        <v>198</v>
      </c>
      <c r="D38" s="28"/>
    </row>
    <row r="39" spans="1:4" ht="33">
      <c r="A39" s="117" t="s">
        <v>250</v>
      </c>
      <c r="B39" s="118" t="s">
        <v>251</v>
      </c>
      <c r="C39" s="115" t="s">
        <v>198</v>
      </c>
      <c r="D39" s="28"/>
    </row>
    <row r="40" spans="1:4" ht="24.75">
      <c r="A40" s="117" t="s">
        <v>252</v>
      </c>
      <c r="B40" s="118" t="s">
        <v>232</v>
      </c>
      <c r="C40" s="115" t="s">
        <v>198</v>
      </c>
      <c r="D40" s="28"/>
    </row>
    <row r="41" spans="1:4" ht="33">
      <c r="A41" s="117" t="s">
        <v>253</v>
      </c>
      <c r="B41" s="118" t="s">
        <v>234</v>
      </c>
      <c r="C41" s="115" t="s">
        <v>198</v>
      </c>
      <c r="D41" s="77"/>
    </row>
    <row r="42" spans="1:4" ht="24.75">
      <c r="A42" s="117" t="s">
        <v>254</v>
      </c>
      <c r="B42" s="118" t="s">
        <v>236</v>
      </c>
      <c r="C42" s="115" t="s">
        <v>198</v>
      </c>
      <c r="D42" s="28"/>
    </row>
    <row r="43" spans="1:4" ht="33">
      <c r="A43" s="117" t="s">
        <v>255</v>
      </c>
      <c r="B43" s="118" t="s">
        <v>256</v>
      </c>
      <c r="C43" s="115" t="s">
        <v>198</v>
      </c>
      <c r="D43" s="28"/>
    </row>
    <row r="44" spans="1:4" ht="24.75">
      <c r="A44" s="117" t="s">
        <v>257</v>
      </c>
      <c r="B44" s="118" t="s">
        <v>258</v>
      </c>
      <c r="C44" s="115" t="s">
        <v>198</v>
      </c>
      <c r="D44" s="28"/>
    </row>
    <row r="45" spans="1:4" ht="24.75">
      <c r="A45" s="117" t="s">
        <v>260</v>
      </c>
      <c r="B45" s="118" t="s">
        <v>259</v>
      </c>
      <c r="C45" s="115" t="s">
        <v>198</v>
      </c>
      <c r="D45" s="28"/>
    </row>
    <row r="46" spans="1:4" s="41" customFormat="1" ht="33">
      <c r="A46" s="117" t="s">
        <v>261</v>
      </c>
      <c r="B46" s="118" t="s">
        <v>262</v>
      </c>
      <c r="C46" s="115" t="s">
        <v>198</v>
      </c>
      <c r="D46" s="28"/>
    </row>
    <row r="47" spans="1:4" ht="33">
      <c r="A47" s="117" t="s">
        <v>263</v>
      </c>
      <c r="B47" s="118" t="s">
        <v>264</v>
      </c>
      <c r="C47" s="115" t="s">
        <v>198</v>
      </c>
      <c r="D47" s="28"/>
    </row>
    <row r="48" spans="1:4" s="39" customFormat="1" ht="16.5">
      <c r="A48" s="117" t="s">
        <v>265</v>
      </c>
      <c r="B48" s="118" t="s">
        <v>266</v>
      </c>
      <c r="C48" s="115" t="s">
        <v>198</v>
      </c>
      <c r="D48" s="28"/>
    </row>
    <row r="49" spans="1:4" ht="33">
      <c r="A49" s="117" t="s">
        <v>267</v>
      </c>
      <c r="B49" s="118" t="s">
        <v>248</v>
      </c>
      <c r="C49" s="115" t="s">
        <v>198</v>
      </c>
      <c r="D49" s="28"/>
    </row>
    <row r="50" spans="1:4" s="39" customFormat="1" ht="33">
      <c r="A50" s="117" t="s">
        <v>268</v>
      </c>
      <c r="B50" s="118" t="s">
        <v>251</v>
      </c>
      <c r="C50" s="115" t="s">
        <v>198</v>
      </c>
      <c r="D50" s="28"/>
    </row>
    <row r="51" spans="1:4" s="39" customFormat="1" ht="33">
      <c r="A51" s="117" t="s">
        <v>269</v>
      </c>
      <c r="B51" s="118" t="s">
        <v>256</v>
      </c>
      <c r="C51" s="115" t="s">
        <v>198</v>
      </c>
      <c r="D51" s="28"/>
    </row>
    <row r="52" spans="1:4" s="93" customFormat="1" ht="24.75">
      <c r="A52" s="117" t="s">
        <v>271</v>
      </c>
      <c r="B52" s="118" t="s">
        <v>270</v>
      </c>
      <c r="C52" s="115" t="s">
        <v>198</v>
      </c>
      <c r="D52" s="116"/>
    </row>
    <row r="53" spans="1:4" s="39" customFormat="1">
      <c r="A53" s="117">
        <v>330</v>
      </c>
      <c r="B53" s="118" t="s">
        <v>272</v>
      </c>
      <c r="C53" s="115" t="s">
        <v>190</v>
      </c>
      <c r="D53" s="28"/>
    </row>
    <row r="54" spans="1:4" s="39" customFormat="1">
      <c r="A54" s="117" t="s">
        <v>207</v>
      </c>
      <c r="B54" s="118" t="s">
        <v>208</v>
      </c>
      <c r="C54" s="115" t="s">
        <v>197</v>
      </c>
      <c r="D54" s="28"/>
    </row>
    <row r="55" spans="1:4">
      <c r="A55" s="117">
        <v>400</v>
      </c>
      <c r="B55" s="118" t="s">
        <v>273</v>
      </c>
      <c r="C55" s="115" t="s">
        <v>190</v>
      </c>
      <c r="D55" s="28"/>
    </row>
    <row r="56" spans="1:4">
      <c r="A56" s="117">
        <v>405</v>
      </c>
      <c r="B56" s="118" t="s">
        <v>274</v>
      </c>
      <c r="C56" s="115" t="s">
        <v>190</v>
      </c>
      <c r="D56" s="28"/>
    </row>
    <row r="57" spans="1:4" s="40" customFormat="1" ht="41.25">
      <c r="A57" s="117">
        <v>415</v>
      </c>
      <c r="B57" s="118" t="s">
        <v>622</v>
      </c>
      <c r="C57" s="115" t="s">
        <v>198</v>
      </c>
      <c r="D57" s="28"/>
    </row>
    <row r="58" spans="1:4" ht="24.75">
      <c r="A58" s="117">
        <v>416</v>
      </c>
      <c r="B58" s="118" t="s">
        <v>275</v>
      </c>
      <c r="C58" s="115" t="s">
        <v>198</v>
      </c>
      <c r="D58" s="28"/>
    </row>
    <row r="59" spans="1:4" s="40" customFormat="1">
      <c r="A59" s="117" t="s">
        <v>276</v>
      </c>
      <c r="B59" s="118" t="s">
        <v>277</v>
      </c>
      <c r="C59" s="115" t="s">
        <v>197</v>
      </c>
      <c r="D59" s="28"/>
    </row>
    <row r="60" spans="1:4" ht="16.5">
      <c r="A60" s="117">
        <v>430</v>
      </c>
      <c r="B60" s="118" t="s">
        <v>629</v>
      </c>
      <c r="C60" s="115" t="s">
        <v>198</v>
      </c>
      <c r="D60" s="28"/>
    </row>
    <row r="61" spans="1:4">
      <c r="A61" s="117" t="s">
        <v>279</v>
      </c>
      <c r="B61" s="118" t="s">
        <v>280</v>
      </c>
      <c r="C61" s="115" t="s">
        <v>197</v>
      </c>
      <c r="D61" s="28"/>
    </row>
    <row r="62" spans="1:4">
      <c r="A62" s="117">
        <v>440</v>
      </c>
      <c r="B62" s="118" t="s">
        <v>278</v>
      </c>
      <c r="C62" s="115" t="s">
        <v>198</v>
      </c>
      <c r="D62" s="28"/>
    </row>
    <row r="63" spans="1:4" s="93" customFormat="1" ht="16.5">
      <c r="A63" s="117">
        <v>450</v>
      </c>
      <c r="B63" s="118" t="s">
        <v>281</v>
      </c>
      <c r="C63" s="115" t="s">
        <v>190</v>
      </c>
      <c r="D63" s="28"/>
    </row>
    <row r="64" spans="1:4">
      <c r="A64" s="117">
        <v>460</v>
      </c>
      <c r="B64" s="118" t="s">
        <v>282</v>
      </c>
      <c r="C64" s="115" t="s">
        <v>198</v>
      </c>
      <c r="D64" s="28"/>
    </row>
    <row r="65" spans="1:4">
      <c r="A65" s="117">
        <v>465</v>
      </c>
      <c r="B65" s="118" t="s">
        <v>589</v>
      </c>
      <c r="C65" s="115" t="s">
        <v>190</v>
      </c>
      <c r="D65" s="28"/>
    </row>
    <row r="66" spans="1:4">
      <c r="A66" s="117">
        <v>470</v>
      </c>
      <c r="B66" s="118" t="s">
        <v>284</v>
      </c>
      <c r="C66" s="115" t="s">
        <v>190</v>
      </c>
      <c r="D66" s="28"/>
    </row>
    <row r="67" spans="1:4">
      <c r="A67" s="117">
        <v>475</v>
      </c>
      <c r="B67" s="118" t="s">
        <v>285</v>
      </c>
      <c r="C67" s="115" t="s">
        <v>190</v>
      </c>
      <c r="D67" s="28"/>
    </row>
    <row r="68" spans="1:4">
      <c r="A68" s="117" t="s">
        <v>283</v>
      </c>
      <c r="B68" s="118" t="s">
        <v>286</v>
      </c>
      <c r="C68" s="115" t="s">
        <v>197</v>
      </c>
      <c r="D68" s="28"/>
    </row>
    <row r="69" spans="1:4">
      <c r="A69" s="117">
        <v>480</v>
      </c>
      <c r="B69" s="118" t="s">
        <v>287</v>
      </c>
      <c r="C69" s="115" t="s">
        <v>190</v>
      </c>
      <c r="D69" s="28"/>
    </row>
    <row r="70" spans="1:4">
      <c r="A70" s="117">
        <v>485</v>
      </c>
      <c r="B70" s="118" t="s">
        <v>288</v>
      </c>
      <c r="C70" s="115" t="s">
        <v>190</v>
      </c>
      <c r="D70" s="28"/>
    </row>
    <row r="71" spans="1:4">
      <c r="A71" s="117">
        <v>490</v>
      </c>
      <c r="B71" s="118" t="s">
        <v>289</v>
      </c>
      <c r="C71" s="115" t="s">
        <v>190</v>
      </c>
      <c r="D71" s="28"/>
    </row>
    <row r="72" spans="1:4" s="93" customFormat="1">
      <c r="A72" s="117">
        <v>500</v>
      </c>
      <c r="B72" s="118" t="s">
        <v>290</v>
      </c>
      <c r="C72" s="115" t="s">
        <v>190</v>
      </c>
      <c r="D72" s="116"/>
    </row>
    <row r="73" spans="1:4" s="93" customFormat="1">
      <c r="A73" s="117">
        <v>900</v>
      </c>
      <c r="B73" s="118" t="s">
        <v>291</v>
      </c>
      <c r="C73" s="115" t="s">
        <v>198</v>
      </c>
      <c r="D73" s="116"/>
    </row>
    <row r="74" spans="1:4" s="93" customFormat="1">
      <c r="A74" s="117">
        <v>910</v>
      </c>
      <c r="B74" s="118" t="s">
        <v>292</v>
      </c>
      <c r="C74" s="115" t="s">
        <v>198</v>
      </c>
      <c r="D74" s="116"/>
    </row>
    <row r="75" spans="1:4" s="93" customFormat="1">
      <c r="A75" s="117">
        <v>920</v>
      </c>
      <c r="B75" s="118" t="s">
        <v>293</v>
      </c>
      <c r="C75" s="115" t="s">
        <v>190</v>
      </c>
      <c r="D75" s="116"/>
    </row>
    <row r="76" spans="1:4">
      <c r="A76" s="117">
        <v>930</v>
      </c>
      <c r="B76" s="118" t="s">
        <v>294</v>
      </c>
      <c r="C76" s="115" t="s">
        <v>190</v>
      </c>
      <c r="D76" s="28"/>
    </row>
    <row r="77" spans="1:4">
      <c r="A77" s="117" t="s">
        <v>295</v>
      </c>
      <c r="B77" s="118" t="s">
        <v>296</v>
      </c>
      <c r="C77" s="115" t="s">
        <v>198</v>
      </c>
      <c r="D77" s="28"/>
    </row>
    <row r="78" spans="1:4">
      <c r="A78" s="117" t="s">
        <v>297</v>
      </c>
      <c r="B78" s="118" t="s">
        <v>298</v>
      </c>
      <c r="C78" s="115" t="s">
        <v>198</v>
      </c>
      <c r="D78" s="28"/>
    </row>
    <row r="79" spans="1:4" ht="24.75">
      <c r="A79" s="117" t="s">
        <v>299</v>
      </c>
      <c r="B79" s="118" t="s">
        <v>300</v>
      </c>
      <c r="C79" s="115" t="s">
        <v>190</v>
      </c>
      <c r="D79" s="28"/>
    </row>
    <row r="80" spans="1:4">
      <c r="A80" s="117" t="s">
        <v>301</v>
      </c>
      <c r="B80" s="130" t="s">
        <v>376</v>
      </c>
      <c r="C80" s="115" t="s">
        <v>190</v>
      </c>
      <c r="D80" s="28"/>
    </row>
    <row r="81" spans="1:4">
      <c r="A81" s="117" t="s">
        <v>374</v>
      </c>
      <c r="B81" s="118" t="s">
        <v>375</v>
      </c>
      <c r="C81" s="115" t="s">
        <v>190</v>
      </c>
      <c r="D81" s="28"/>
    </row>
    <row r="82" spans="1:4">
      <c r="A82" s="117" t="s">
        <v>377</v>
      </c>
      <c r="B82" s="118" t="s">
        <v>394</v>
      </c>
      <c r="C82" s="115" t="s">
        <v>190</v>
      </c>
      <c r="D82" s="28"/>
    </row>
    <row r="83" spans="1:4" s="41" customFormat="1">
      <c r="A83" s="117" t="s">
        <v>378</v>
      </c>
      <c r="B83" s="118" t="s">
        <v>395</v>
      </c>
      <c r="C83" s="115" t="s">
        <v>190</v>
      </c>
      <c r="D83" s="28"/>
    </row>
    <row r="84" spans="1:4" s="93" customFormat="1">
      <c r="A84" s="117" t="s">
        <v>396</v>
      </c>
      <c r="B84" s="118" t="s">
        <v>397</v>
      </c>
      <c r="C84" s="115"/>
      <c r="D84" s="116"/>
    </row>
    <row r="85" spans="1:4" ht="16.5">
      <c r="A85" s="117" t="s">
        <v>379</v>
      </c>
      <c r="B85" s="118" t="s">
        <v>398</v>
      </c>
      <c r="C85" s="115" t="s">
        <v>190</v>
      </c>
      <c r="D85" s="28"/>
    </row>
    <row r="86" spans="1:4">
      <c r="A86" s="117" t="s">
        <v>380</v>
      </c>
      <c r="B86" s="118" t="s">
        <v>399</v>
      </c>
      <c r="C86" s="115" t="s">
        <v>190</v>
      </c>
      <c r="D86" s="28"/>
    </row>
    <row r="87" spans="1:4">
      <c r="A87" s="117" t="s">
        <v>381</v>
      </c>
      <c r="B87" s="118" t="s">
        <v>400</v>
      </c>
      <c r="C87" s="115" t="s">
        <v>190</v>
      </c>
      <c r="D87" s="28"/>
    </row>
    <row r="88" spans="1:4">
      <c r="A88" s="117" t="s">
        <v>382</v>
      </c>
      <c r="B88" s="118" t="s">
        <v>401</v>
      </c>
      <c r="C88" s="115" t="s">
        <v>190</v>
      </c>
      <c r="D88" s="28"/>
    </row>
    <row r="89" spans="1:4">
      <c r="A89" s="117" t="s">
        <v>383</v>
      </c>
      <c r="B89" s="118" t="s">
        <v>402</v>
      </c>
      <c r="C89" s="115" t="s">
        <v>190</v>
      </c>
      <c r="D89" s="28"/>
    </row>
    <row r="90" spans="1:4" ht="16.5">
      <c r="A90" s="117" t="s">
        <v>384</v>
      </c>
      <c r="B90" s="118" t="s">
        <v>403</v>
      </c>
      <c r="C90" s="115" t="s">
        <v>190</v>
      </c>
      <c r="D90" s="28"/>
    </row>
    <row r="91" spans="1:4">
      <c r="A91" s="117" t="s">
        <v>385</v>
      </c>
      <c r="B91" s="118" t="s">
        <v>404</v>
      </c>
      <c r="C91" s="115" t="s">
        <v>190</v>
      </c>
      <c r="D91" s="28"/>
    </row>
    <row r="92" spans="1:4">
      <c r="A92" s="117" t="s">
        <v>386</v>
      </c>
      <c r="B92" s="118" t="s">
        <v>405</v>
      </c>
      <c r="C92" s="115" t="s">
        <v>190</v>
      </c>
      <c r="D92" s="28"/>
    </row>
    <row r="93" spans="1:4" ht="16.5">
      <c r="A93" s="117" t="s">
        <v>387</v>
      </c>
      <c r="B93" s="118" t="s">
        <v>406</v>
      </c>
      <c r="C93" s="115" t="s">
        <v>190</v>
      </c>
      <c r="D93" s="28"/>
    </row>
    <row r="94" spans="1:4" ht="16.5">
      <c r="A94" s="117" t="s">
        <v>388</v>
      </c>
      <c r="B94" s="118" t="s">
        <v>407</v>
      </c>
      <c r="C94" s="115" t="s">
        <v>190</v>
      </c>
      <c r="D94" s="28"/>
    </row>
    <row r="95" spans="1:4">
      <c r="A95" s="117" t="s">
        <v>389</v>
      </c>
      <c r="B95" s="118" t="s">
        <v>408</v>
      </c>
      <c r="C95" s="115" t="s">
        <v>190</v>
      </c>
      <c r="D95" s="28"/>
    </row>
    <row r="96" spans="1:4">
      <c r="A96" s="117" t="s">
        <v>390</v>
      </c>
      <c r="B96" s="118" t="s">
        <v>409</v>
      </c>
      <c r="C96" s="115" t="s">
        <v>190</v>
      </c>
      <c r="D96" s="28"/>
    </row>
    <row r="97" spans="1:4">
      <c r="A97" s="117" t="s">
        <v>391</v>
      </c>
      <c r="B97" s="118" t="s">
        <v>410</v>
      </c>
      <c r="C97" s="115" t="s">
        <v>190</v>
      </c>
      <c r="D97" s="28"/>
    </row>
    <row r="98" spans="1:4">
      <c r="A98" s="117" t="s">
        <v>392</v>
      </c>
      <c r="B98" s="118" t="s">
        <v>411</v>
      </c>
      <c r="C98" s="115" t="s">
        <v>190</v>
      </c>
      <c r="D98" s="28"/>
    </row>
    <row r="99" spans="1:4">
      <c r="A99" s="117" t="s">
        <v>393</v>
      </c>
      <c r="B99" s="118" t="s">
        <v>412</v>
      </c>
      <c r="C99" s="115" t="s">
        <v>190</v>
      </c>
      <c r="D99" s="28"/>
    </row>
    <row r="100" spans="1:4" s="39" customFormat="1">
      <c r="A100" s="117" t="s">
        <v>477</v>
      </c>
      <c r="B100" s="118" t="s">
        <v>478</v>
      </c>
      <c r="C100" s="115" t="s">
        <v>479</v>
      </c>
      <c r="D100" s="28"/>
    </row>
    <row r="101" spans="1:4">
      <c r="A101" s="117" t="s">
        <v>480</v>
      </c>
      <c r="B101" s="118" t="s">
        <v>481</v>
      </c>
      <c r="C101" s="115" t="s">
        <v>479</v>
      </c>
      <c r="D101" s="28"/>
    </row>
    <row r="102" spans="1:4">
      <c r="A102" s="117"/>
      <c r="B102" s="118"/>
      <c r="C102" s="115"/>
      <c r="D102" s="28"/>
    </row>
    <row r="103" spans="1:4">
      <c r="A103" s="117"/>
      <c r="B103" s="118"/>
      <c r="C103" s="115"/>
      <c r="D103" s="28"/>
    </row>
    <row r="104" spans="1:4">
      <c r="A104" s="117"/>
      <c r="B104" s="118"/>
      <c r="C104" s="115"/>
      <c r="D104" s="28"/>
    </row>
    <row r="105" spans="1:4">
      <c r="A105" s="117"/>
      <c r="B105" s="118"/>
      <c r="C105" s="115"/>
      <c r="D105" s="28"/>
    </row>
    <row r="106" spans="1:4">
      <c r="A106" s="117"/>
      <c r="B106" s="118"/>
      <c r="C106" s="115"/>
      <c r="D106" s="28"/>
    </row>
    <row r="107" spans="1:4">
      <c r="A107" s="117"/>
      <c r="B107" s="118"/>
      <c r="C107" s="115"/>
      <c r="D107" s="28"/>
    </row>
    <row r="108" spans="1:4">
      <c r="A108" s="117"/>
      <c r="B108" s="118"/>
      <c r="C108" s="115"/>
      <c r="D108" s="28"/>
    </row>
    <row r="109" spans="1:4">
      <c r="A109" s="119"/>
      <c r="B109" s="118"/>
      <c r="C109" s="115"/>
      <c r="D109" s="28"/>
    </row>
    <row r="110" spans="1:4">
      <c r="A110" s="117"/>
      <c r="B110" s="118"/>
      <c r="C110" s="115"/>
      <c r="D110" s="28"/>
    </row>
    <row r="111" spans="1:4">
      <c r="A111" s="117"/>
      <c r="B111" s="118"/>
      <c r="C111" s="115"/>
      <c r="D111" s="28"/>
    </row>
    <row r="112" spans="1:4">
      <c r="A112" s="117"/>
      <c r="B112" s="118"/>
      <c r="C112" s="115"/>
      <c r="D112" s="28"/>
    </row>
    <row r="113" spans="1:4">
      <c r="A113" s="117"/>
      <c r="B113" s="118"/>
      <c r="C113" s="115"/>
      <c r="D113" s="28"/>
    </row>
    <row r="114" spans="1:4">
      <c r="A114" s="117"/>
      <c r="B114" s="118"/>
      <c r="C114" s="115"/>
      <c r="D114" s="28"/>
    </row>
    <row r="115" spans="1:4">
      <c r="A115" s="117"/>
      <c r="B115" s="118"/>
      <c r="C115" s="115"/>
      <c r="D115" s="28"/>
    </row>
    <row r="116" spans="1:4">
      <c r="A116" s="117"/>
      <c r="B116" s="118"/>
      <c r="C116" s="115"/>
      <c r="D116" s="28"/>
    </row>
    <row r="117" spans="1:4" s="93" customFormat="1">
      <c r="A117" s="117"/>
      <c r="B117" s="118"/>
      <c r="C117" s="115"/>
      <c r="D117" s="28"/>
    </row>
    <row r="118" spans="1:4" s="93" customFormat="1">
      <c r="A118" s="117"/>
      <c r="B118" s="118"/>
      <c r="C118" s="115"/>
      <c r="D118" s="28"/>
    </row>
    <row r="119" spans="1:4" s="93" customFormat="1">
      <c r="A119" s="117"/>
      <c r="B119" s="118"/>
      <c r="C119" s="115"/>
      <c r="D119" s="28"/>
    </row>
    <row r="120" spans="1:4" s="93" customFormat="1">
      <c r="A120" s="117"/>
      <c r="B120" s="118"/>
      <c r="C120" s="115"/>
      <c r="D120" s="28"/>
    </row>
    <row r="121" spans="1:4" s="93" customFormat="1">
      <c r="A121" s="117"/>
      <c r="B121" s="118"/>
      <c r="C121" s="115"/>
      <c r="D121" s="28"/>
    </row>
    <row r="122" spans="1:4" s="39" customFormat="1">
      <c r="A122" s="117"/>
      <c r="B122" s="118"/>
      <c r="C122" s="115"/>
      <c r="D122" s="28"/>
    </row>
    <row r="123" spans="1:4">
      <c r="A123" s="117"/>
      <c r="B123" s="118"/>
      <c r="C123" s="115"/>
      <c r="D123" s="28"/>
    </row>
    <row r="124" spans="1:4">
      <c r="A124" s="117"/>
      <c r="B124" s="118"/>
      <c r="C124" s="115"/>
      <c r="D124" s="28"/>
    </row>
    <row r="125" spans="1:4">
      <c r="A125" s="117"/>
      <c r="B125" s="118"/>
      <c r="C125" s="115"/>
      <c r="D125" s="28"/>
    </row>
    <row r="126" spans="1:4">
      <c r="A126" s="117"/>
      <c r="B126" s="118"/>
      <c r="C126" s="115"/>
      <c r="D126" s="28"/>
    </row>
    <row r="127" spans="1:4">
      <c r="A127" s="117"/>
      <c r="B127" s="118"/>
      <c r="C127" s="115"/>
      <c r="D127" s="28"/>
    </row>
    <row r="128" spans="1:4">
      <c r="A128" s="117"/>
      <c r="B128" s="118"/>
      <c r="C128" s="115"/>
      <c r="D128" s="28"/>
    </row>
    <row r="129" spans="1:4">
      <c r="A129" s="117"/>
      <c r="B129" s="118"/>
      <c r="C129" s="115"/>
      <c r="D129" s="28"/>
    </row>
    <row r="130" spans="1:4">
      <c r="A130" s="117"/>
      <c r="B130" s="118"/>
      <c r="C130" s="115"/>
      <c r="D130" s="28"/>
    </row>
    <row r="131" spans="1:4">
      <c r="A131" s="117"/>
      <c r="B131" s="118"/>
      <c r="C131" s="115"/>
      <c r="D131" s="28"/>
    </row>
    <row r="132" spans="1:4">
      <c r="A132" s="117"/>
      <c r="B132" s="118"/>
      <c r="C132" s="115"/>
      <c r="D132" s="28"/>
    </row>
    <row r="133" spans="1:4">
      <c r="A133" s="117"/>
      <c r="B133" s="118"/>
      <c r="C133" s="115"/>
      <c r="D133" s="28"/>
    </row>
    <row r="134" spans="1:4">
      <c r="A134" s="117"/>
      <c r="B134" s="118"/>
      <c r="C134" s="115"/>
      <c r="D134" s="28"/>
    </row>
    <row r="135" spans="1:4">
      <c r="A135" s="117"/>
      <c r="B135" s="118"/>
      <c r="C135" s="115"/>
      <c r="D135" s="28"/>
    </row>
    <row r="136" spans="1:4">
      <c r="A136" s="117"/>
      <c r="B136" s="118"/>
      <c r="C136" s="115"/>
      <c r="D136" s="28"/>
    </row>
    <row r="137" spans="1:4">
      <c r="A137" s="117"/>
      <c r="B137" s="118"/>
      <c r="C137" s="115"/>
      <c r="D137" s="28"/>
    </row>
    <row r="138" spans="1:4">
      <c r="A138" s="117"/>
      <c r="B138" s="118"/>
      <c r="C138" s="115"/>
      <c r="D138" s="28"/>
    </row>
    <row r="139" spans="1:4">
      <c r="A139" s="117"/>
      <c r="B139" s="118"/>
      <c r="C139" s="115"/>
      <c r="D139" s="28"/>
    </row>
    <row r="140" spans="1:4">
      <c r="A140" s="117"/>
      <c r="B140" s="118"/>
      <c r="C140" s="115"/>
      <c r="D140" s="28"/>
    </row>
    <row r="141" spans="1:4">
      <c r="A141" s="117"/>
      <c r="B141" s="118"/>
      <c r="C141" s="115"/>
      <c r="D141" s="28"/>
    </row>
    <row r="142" spans="1:4">
      <c r="A142" s="117"/>
      <c r="B142" s="118"/>
      <c r="C142" s="115"/>
      <c r="D142" s="28"/>
    </row>
    <row r="143" spans="1:4">
      <c r="A143" s="117"/>
      <c r="B143" s="118"/>
      <c r="C143" s="115"/>
      <c r="D143" s="28"/>
    </row>
    <row r="144" spans="1:4">
      <c r="A144" s="117"/>
      <c r="B144" s="118"/>
      <c r="C144" s="115"/>
      <c r="D144" s="28"/>
    </row>
    <row r="145" spans="1:4">
      <c r="A145" s="117"/>
      <c r="B145" s="118"/>
      <c r="C145" s="115"/>
      <c r="D145" s="28"/>
    </row>
    <row r="146" spans="1:4">
      <c r="A146" s="117"/>
      <c r="B146" s="118"/>
      <c r="C146" s="115"/>
      <c r="D146" s="28"/>
    </row>
    <row r="147" spans="1:4">
      <c r="A147" s="117"/>
      <c r="B147" s="118"/>
      <c r="C147" s="115"/>
      <c r="D147" s="28"/>
    </row>
    <row r="148" spans="1:4">
      <c r="A148" s="117"/>
      <c r="B148" s="118"/>
      <c r="C148" s="115"/>
      <c r="D148" s="28"/>
    </row>
    <row r="149" spans="1:4">
      <c r="A149" s="117"/>
      <c r="B149" s="118"/>
      <c r="C149" s="115"/>
      <c r="D149" s="28"/>
    </row>
    <row r="150" spans="1:4">
      <c r="A150" s="117"/>
      <c r="B150" s="118"/>
      <c r="C150" s="115"/>
      <c r="D150" s="28"/>
    </row>
    <row r="151" spans="1:4">
      <c r="A151" s="117"/>
      <c r="B151" s="118"/>
      <c r="C151" s="115"/>
      <c r="D151" s="28"/>
    </row>
    <row r="152" spans="1:4" s="40" customFormat="1">
      <c r="A152" s="117"/>
      <c r="B152" s="118"/>
      <c r="C152" s="115"/>
      <c r="D152" s="28"/>
    </row>
    <row r="153" spans="1:4">
      <c r="A153" s="117"/>
      <c r="B153" s="118"/>
      <c r="C153" s="115"/>
      <c r="D153" s="28"/>
    </row>
    <row r="154" spans="1:4">
      <c r="A154" s="117"/>
      <c r="B154" s="118"/>
      <c r="C154" s="115"/>
      <c r="D154" s="28"/>
    </row>
    <row r="155" spans="1:4">
      <c r="A155" s="117"/>
      <c r="B155" s="118"/>
      <c r="C155" s="115"/>
      <c r="D155" s="28"/>
    </row>
    <row r="156" spans="1:4">
      <c r="A156" s="117"/>
      <c r="B156" s="118"/>
      <c r="C156" s="115"/>
      <c r="D156" s="28"/>
    </row>
    <row r="157" spans="1:4">
      <c r="A157" s="117"/>
      <c r="B157" s="118"/>
      <c r="C157" s="115"/>
      <c r="D157" s="28"/>
    </row>
    <row r="158" spans="1:4">
      <c r="A158" s="117"/>
      <c r="B158" s="118"/>
      <c r="C158" s="115"/>
      <c r="D158" s="28"/>
    </row>
    <row r="159" spans="1:4">
      <c r="A159" s="117"/>
      <c r="B159" s="118"/>
      <c r="C159" s="115"/>
      <c r="D159" s="28"/>
    </row>
    <row r="160" spans="1:4">
      <c r="A160" s="117"/>
      <c r="B160" s="118"/>
      <c r="C160" s="115"/>
      <c r="D160" s="28"/>
    </row>
    <row r="161" spans="1:4">
      <c r="A161" s="117"/>
      <c r="B161" s="118"/>
      <c r="C161" s="115"/>
      <c r="D161" s="28"/>
    </row>
    <row r="162" spans="1:4">
      <c r="A162" s="117"/>
      <c r="B162" s="118"/>
      <c r="C162" s="115"/>
      <c r="D162" s="28"/>
    </row>
    <row r="163" spans="1:4">
      <c r="A163" s="117"/>
      <c r="B163" s="118"/>
      <c r="C163" s="115"/>
      <c r="D163" s="28"/>
    </row>
    <row r="164" spans="1:4">
      <c r="A164" s="117"/>
      <c r="B164" s="118"/>
      <c r="C164" s="115"/>
      <c r="D164" s="28"/>
    </row>
    <row r="165" spans="1:4">
      <c r="A165" s="117"/>
      <c r="B165" s="118"/>
      <c r="C165" s="115"/>
      <c r="D165" s="28"/>
    </row>
    <row r="166" spans="1:4">
      <c r="A166" s="117"/>
      <c r="B166" s="118"/>
      <c r="C166" s="115"/>
      <c r="D166" s="28"/>
    </row>
    <row r="167" spans="1:4">
      <c r="A167" s="117"/>
      <c r="B167" s="118"/>
      <c r="C167" s="115"/>
      <c r="D167" s="28"/>
    </row>
    <row r="168" spans="1:4" s="39" customFormat="1">
      <c r="A168" s="117"/>
      <c r="B168" s="118"/>
      <c r="C168" s="115"/>
      <c r="D168" s="28"/>
    </row>
    <row r="169" spans="1:4" s="39" customFormat="1">
      <c r="A169" s="117"/>
      <c r="B169" s="118"/>
      <c r="C169" s="115"/>
      <c r="D169" s="28"/>
    </row>
    <row r="170" spans="1:4">
      <c r="A170" s="117"/>
      <c r="B170" s="118"/>
      <c r="C170" s="115"/>
      <c r="D170" s="28"/>
    </row>
    <row r="171" spans="1:4">
      <c r="A171" s="117"/>
      <c r="B171" s="118"/>
      <c r="C171" s="115"/>
      <c r="D171" s="28"/>
    </row>
    <row r="172" spans="1:4">
      <c r="A172" s="117"/>
      <c r="B172" s="118"/>
      <c r="C172" s="115"/>
      <c r="D172" s="28"/>
    </row>
    <row r="173" spans="1:4">
      <c r="A173" s="117"/>
      <c r="B173" s="118"/>
      <c r="C173" s="115"/>
      <c r="D173" s="28"/>
    </row>
    <row r="174" spans="1:4">
      <c r="A174" s="117"/>
      <c r="B174" s="118"/>
      <c r="C174" s="115"/>
      <c r="D174" s="28"/>
    </row>
    <row r="175" spans="1:4">
      <c r="A175" s="117"/>
      <c r="B175" s="118"/>
      <c r="C175" s="115"/>
      <c r="D175" s="28"/>
    </row>
    <row r="176" spans="1:4">
      <c r="A176" s="117"/>
      <c r="B176" s="118"/>
      <c r="C176" s="115"/>
      <c r="D176" s="28"/>
    </row>
    <row r="177" spans="1:4">
      <c r="A177" s="117"/>
      <c r="B177" s="118"/>
      <c r="C177" s="115"/>
      <c r="D177" s="28"/>
    </row>
    <row r="178" spans="1:4">
      <c r="A178" s="117"/>
      <c r="B178" s="118"/>
      <c r="C178" s="115"/>
      <c r="D178" s="28"/>
    </row>
    <row r="179" spans="1:4">
      <c r="A179" s="117"/>
      <c r="B179" s="118"/>
      <c r="C179" s="115"/>
      <c r="D179" s="28"/>
    </row>
    <row r="180" spans="1:4">
      <c r="A180" s="117"/>
      <c r="B180" s="118"/>
      <c r="C180" s="115"/>
      <c r="D180" s="28"/>
    </row>
    <row r="181" spans="1:4">
      <c r="A181" s="117"/>
      <c r="B181" s="118"/>
      <c r="C181" s="115"/>
      <c r="D181" s="28"/>
    </row>
    <row r="182" spans="1:4">
      <c r="A182" s="117"/>
      <c r="B182" s="118"/>
      <c r="C182" s="115"/>
      <c r="D182" s="28"/>
    </row>
    <row r="183" spans="1:4">
      <c r="A183" s="117"/>
      <c r="B183" s="118"/>
      <c r="C183" s="115"/>
      <c r="D183" s="28"/>
    </row>
    <row r="184" spans="1:4">
      <c r="A184" s="117"/>
      <c r="B184" s="118"/>
      <c r="C184" s="115"/>
      <c r="D184" s="28"/>
    </row>
    <row r="185" spans="1:4">
      <c r="A185" s="117"/>
      <c r="B185" s="118"/>
      <c r="C185" s="115"/>
      <c r="D185" s="28"/>
    </row>
    <row r="186" spans="1:4">
      <c r="A186" s="117"/>
      <c r="B186" s="118"/>
      <c r="C186" s="115"/>
      <c r="D186" s="28"/>
    </row>
    <row r="187" spans="1:4">
      <c r="A187" s="117"/>
      <c r="B187" s="118"/>
      <c r="C187" s="115"/>
      <c r="D187" s="28"/>
    </row>
    <row r="188" spans="1:4">
      <c r="A188" s="117"/>
      <c r="B188" s="118"/>
      <c r="C188" s="115"/>
      <c r="D188" s="28"/>
    </row>
    <row r="189" spans="1:4">
      <c r="A189" s="117"/>
      <c r="B189" s="118"/>
      <c r="C189" s="115"/>
      <c r="D189" s="28"/>
    </row>
    <row r="190" spans="1:4">
      <c r="A190" s="117"/>
      <c r="B190" s="118"/>
      <c r="C190" s="115"/>
      <c r="D190" s="28"/>
    </row>
    <row r="191" spans="1:4">
      <c r="A191" s="117"/>
      <c r="B191" s="118"/>
      <c r="C191" s="115"/>
      <c r="D191" s="28"/>
    </row>
    <row r="192" spans="1:4">
      <c r="A192" s="117"/>
      <c r="B192" s="118"/>
      <c r="C192" s="115"/>
      <c r="D192" s="28"/>
    </row>
    <row r="193" spans="1:4">
      <c r="A193" s="117"/>
      <c r="B193" s="118"/>
      <c r="C193" s="115"/>
      <c r="D193" s="28"/>
    </row>
    <row r="194" spans="1:4">
      <c r="A194" s="117"/>
      <c r="B194" s="118"/>
      <c r="C194" s="115"/>
      <c r="D194" s="28"/>
    </row>
    <row r="195" spans="1:4">
      <c r="A195" s="117"/>
      <c r="B195" s="118"/>
      <c r="C195" s="115"/>
      <c r="D195" s="28"/>
    </row>
    <row r="196" spans="1:4">
      <c r="A196" s="117"/>
      <c r="B196" s="118"/>
      <c r="C196" s="115"/>
      <c r="D196" s="28"/>
    </row>
    <row r="197" spans="1:4">
      <c r="A197" s="117"/>
      <c r="B197" s="118"/>
      <c r="C197" s="115"/>
      <c r="D197" s="28"/>
    </row>
    <row r="198" spans="1:4">
      <c r="A198" s="117"/>
      <c r="B198" s="118"/>
      <c r="C198" s="115"/>
      <c r="D198" s="28"/>
    </row>
    <row r="199" spans="1:4">
      <c r="A199" s="117"/>
      <c r="B199" s="118"/>
      <c r="C199" s="115"/>
      <c r="D199" s="28"/>
    </row>
    <row r="200" spans="1:4">
      <c r="A200" s="117"/>
      <c r="B200" s="118"/>
      <c r="C200" s="115"/>
      <c r="D200" s="28"/>
    </row>
    <row r="201" spans="1:4">
      <c r="A201" s="117"/>
      <c r="B201" s="118"/>
      <c r="C201" s="115"/>
      <c r="D201" s="28"/>
    </row>
    <row r="202" spans="1:4">
      <c r="A202" s="117"/>
      <c r="B202" s="118"/>
      <c r="C202" s="115"/>
      <c r="D202" s="21"/>
    </row>
    <row r="203" spans="1:4">
      <c r="A203" s="117"/>
      <c r="B203" s="118"/>
      <c r="C203" s="115"/>
      <c r="D203" s="28"/>
    </row>
    <row r="204" spans="1:4">
      <c r="A204" s="117"/>
      <c r="B204" s="118"/>
      <c r="C204" s="115"/>
      <c r="D204" s="28"/>
    </row>
    <row r="205" spans="1:4">
      <c r="A205" s="117"/>
      <c r="B205" s="118"/>
      <c r="C205" s="115"/>
      <c r="D205" s="28"/>
    </row>
    <row r="206" spans="1:4">
      <c r="A206" s="117"/>
      <c r="B206" s="118"/>
      <c r="C206" s="115"/>
      <c r="D206" s="28"/>
    </row>
    <row r="207" spans="1:4">
      <c r="A207" s="117"/>
      <c r="B207" s="118"/>
      <c r="C207" s="115"/>
      <c r="D207" s="28"/>
    </row>
    <row r="208" spans="1:4">
      <c r="A208" s="117"/>
      <c r="B208" s="118"/>
      <c r="C208" s="115"/>
      <c r="D208" s="28"/>
    </row>
    <row r="209" spans="1:4" s="93" customFormat="1">
      <c r="A209" s="117"/>
      <c r="B209" s="118"/>
      <c r="C209" s="115"/>
      <c r="D209" s="116"/>
    </row>
    <row r="210" spans="1:4" s="93" customFormat="1">
      <c r="A210" s="117"/>
      <c r="B210" s="118"/>
      <c r="C210" s="115"/>
      <c r="D210" s="116"/>
    </row>
    <row r="211" spans="1:4">
      <c r="A211" s="117"/>
      <c r="B211" s="118"/>
      <c r="C211" s="115"/>
      <c r="D211" s="28"/>
    </row>
    <row r="212" spans="1:4">
      <c r="A212" s="117"/>
      <c r="B212" s="118"/>
      <c r="C212" s="115"/>
      <c r="D212" s="28"/>
    </row>
    <row r="213" spans="1:4">
      <c r="A213" s="117"/>
      <c r="B213" s="118"/>
      <c r="C213" s="115"/>
      <c r="D213" s="28"/>
    </row>
    <row r="214" spans="1:4" s="39" customFormat="1">
      <c r="A214" s="117"/>
      <c r="B214" s="118"/>
      <c r="C214" s="115"/>
      <c r="D214" s="28"/>
    </row>
    <row r="215" spans="1:4">
      <c r="A215" s="117"/>
      <c r="B215" s="118"/>
      <c r="C215" s="115"/>
      <c r="D215" s="28"/>
    </row>
    <row r="216" spans="1:4" s="93" customFormat="1">
      <c r="A216" s="117"/>
      <c r="B216" s="118"/>
      <c r="C216" s="115"/>
      <c r="D216" s="116"/>
    </row>
    <row r="217" spans="1:4" s="93" customFormat="1">
      <c r="A217" s="117"/>
      <c r="B217" s="118"/>
      <c r="C217" s="115"/>
      <c r="D217" s="116"/>
    </row>
    <row r="218" spans="1:4">
      <c r="A218" s="117"/>
      <c r="B218" s="118"/>
      <c r="C218" s="115"/>
      <c r="D218" s="28"/>
    </row>
    <row r="219" spans="1:4" s="39" customFormat="1">
      <c r="A219" s="117"/>
      <c r="B219" s="118"/>
      <c r="C219" s="115"/>
      <c r="D219" s="28"/>
    </row>
    <row r="220" spans="1:4">
      <c r="A220" s="117"/>
      <c r="B220" s="118"/>
      <c r="C220" s="115"/>
      <c r="D220" s="28"/>
    </row>
    <row r="221" spans="1:4">
      <c r="A221" s="117"/>
      <c r="B221" s="118"/>
      <c r="C221" s="115"/>
      <c r="D221" s="28"/>
    </row>
    <row r="222" spans="1:4" s="39" customFormat="1">
      <c r="A222" s="117"/>
      <c r="B222" s="118"/>
      <c r="C222" s="115"/>
      <c r="D222" s="28"/>
    </row>
    <row r="223" spans="1:4">
      <c r="A223" s="117"/>
      <c r="B223" s="118"/>
      <c r="C223" s="115"/>
      <c r="D223" s="28"/>
    </row>
    <row r="224" spans="1:4">
      <c r="A224" s="117"/>
      <c r="B224" s="118"/>
      <c r="C224" s="115"/>
      <c r="D224" s="28"/>
    </row>
    <row r="225" spans="1:4">
      <c r="A225" s="117"/>
      <c r="B225" s="118"/>
      <c r="C225" s="115"/>
      <c r="D225" s="28"/>
    </row>
    <row r="226" spans="1:4">
      <c r="A226" s="117"/>
      <c r="B226" s="118"/>
      <c r="C226" s="115"/>
      <c r="D226" s="28"/>
    </row>
    <row r="227" spans="1:4">
      <c r="A227" s="117"/>
      <c r="B227" s="118"/>
      <c r="C227" s="115"/>
      <c r="D227" s="28"/>
    </row>
    <row r="228" spans="1:4">
      <c r="A228" s="117"/>
      <c r="B228" s="118"/>
      <c r="C228" s="115"/>
      <c r="D228" s="28"/>
    </row>
    <row r="229" spans="1:4">
      <c r="A229" s="117"/>
      <c r="B229" s="118"/>
      <c r="C229" s="115"/>
      <c r="D229" s="28"/>
    </row>
    <row r="230" spans="1:4">
      <c r="A230" s="117"/>
      <c r="B230" s="118"/>
      <c r="C230" s="115"/>
      <c r="D230" s="28"/>
    </row>
    <row r="231" spans="1:4">
      <c r="A231" s="117"/>
      <c r="B231" s="118"/>
      <c r="C231" s="115"/>
      <c r="D231" s="28"/>
    </row>
    <row r="232" spans="1:4">
      <c r="A232" s="117"/>
      <c r="B232" s="118"/>
      <c r="C232" s="115"/>
      <c r="D232" s="28"/>
    </row>
    <row r="233" spans="1:4">
      <c r="A233" s="117"/>
      <c r="B233" s="118"/>
      <c r="C233" s="115"/>
      <c r="D233" s="28"/>
    </row>
    <row r="234" spans="1:4">
      <c r="A234" s="117"/>
      <c r="B234" s="118"/>
      <c r="C234" s="115"/>
      <c r="D234" s="28"/>
    </row>
    <row r="235" spans="1:4">
      <c r="A235" s="117"/>
      <c r="B235" s="118"/>
      <c r="C235" s="115"/>
      <c r="D235" s="28"/>
    </row>
    <row r="236" spans="1:4">
      <c r="A236" s="117"/>
      <c r="B236" s="118"/>
      <c r="C236" s="115"/>
      <c r="D236" s="28"/>
    </row>
    <row r="237" spans="1:4">
      <c r="A237" s="117"/>
      <c r="B237" s="118"/>
      <c r="C237" s="115"/>
      <c r="D237" s="28"/>
    </row>
    <row r="238" spans="1:4">
      <c r="A238" s="117"/>
      <c r="B238" s="118"/>
      <c r="C238" s="115"/>
      <c r="D238" s="28"/>
    </row>
    <row r="239" spans="1:4">
      <c r="A239" s="117"/>
      <c r="B239" s="118"/>
      <c r="C239" s="115"/>
      <c r="D239" s="28"/>
    </row>
    <row r="240" spans="1:4">
      <c r="A240" s="117"/>
      <c r="B240" s="118"/>
      <c r="C240" s="115"/>
      <c r="D240" s="28"/>
    </row>
    <row r="241" spans="1:4">
      <c r="A241" s="117"/>
      <c r="B241" s="118"/>
      <c r="C241" s="115"/>
      <c r="D241" s="28"/>
    </row>
    <row r="242" spans="1:4">
      <c r="A242" s="117"/>
      <c r="B242" s="118"/>
      <c r="C242" s="115"/>
      <c r="D242" s="28"/>
    </row>
    <row r="243" spans="1:4">
      <c r="A243" s="117"/>
      <c r="B243" s="118"/>
      <c r="C243" s="115"/>
      <c r="D243" s="28"/>
    </row>
    <row r="244" spans="1:4">
      <c r="A244" s="117"/>
      <c r="B244" s="118"/>
      <c r="C244" s="115"/>
      <c r="D244" s="28"/>
    </row>
    <row r="245" spans="1:4">
      <c r="A245" s="117"/>
      <c r="B245" s="118"/>
      <c r="C245" s="115"/>
      <c r="D245" s="28"/>
    </row>
    <row r="246" spans="1:4">
      <c r="A246" s="117"/>
      <c r="B246" s="118"/>
      <c r="C246" s="115"/>
      <c r="D246" s="28"/>
    </row>
    <row r="247" spans="1:4">
      <c r="A247" s="117"/>
      <c r="B247" s="118"/>
      <c r="C247" s="115"/>
      <c r="D247" s="28"/>
    </row>
    <row r="248" spans="1:4">
      <c r="A248" s="117"/>
      <c r="B248" s="118"/>
      <c r="C248" s="115"/>
      <c r="D248" s="28"/>
    </row>
    <row r="249" spans="1:4">
      <c r="A249" s="117"/>
      <c r="B249" s="118"/>
      <c r="C249" s="115"/>
      <c r="D249" s="28"/>
    </row>
    <row r="250" spans="1:4">
      <c r="A250" s="117"/>
      <c r="B250" s="118"/>
      <c r="C250" s="115"/>
      <c r="D250" s="28"/>
    </row>
    <row r="251" spans="1:4">
      <c r="A251" s="117"/>
      <c r="B251" s="118"/>
      <c r="C251" s="115"/>
      <c r="D251" s="28"/>
    </row>
    <row r="252" spans="1:4" s="39" customFormat="1">
      <c r="A252" s="117"/>
      <c r="B252" s="118"/>
      <c r="C252" s="115"/>
      <c r="D252" s="28"/>
    </row>
    <row r="253" spans="1:4" s="39" customFormat="1">
      <c r="A253" s="117"/>
      <c r="B253" s="118"/>
      <c r="C253" s="115"/>
      <c r="D253" s="28"/>
    </row>
    <row r="254" spans="1:4" s="39" customFormat="1">
      <c r="A254" s="117"/>
      <c r="B254" s="118"/>
      <c r="C254" s="115"/>
      <c r="D254" s="28"/>
    </row>
    <row r="255" spans="1:4" s="39" customFormat="1">
      <c r="A255" s="117"/>
      <c r="B255" s="118"/>
      <c r="C255" s="115"/>
      <c r="D255" s="28"/>
    </row>
    <row r="256" spans="1:4" s="39" customFormat="1">
      <c r="A256" s="117"/>
      <c r="B256" s="118"/>
      <c r="C256" s="115"/>
      <c r="D256" s="28"/>
    </row>
    <row r="257" spans="1:4" s="39" customFormat="1">
      <c r="A257" s="117"/>
      <c r="B257" s="118"/>
      <c r="C257" s="115"/>
      <c r="D257" s="28"/>
    </row>
    <row r="258" spans="1:4">
      <c r="A258" s="117"/>
      <c r="B258" s="118"/>
      <c r="C258" s="115"/>
      <c r="D258" s="28"/>
    </row>
    <row r="259" spans="1:4" s="39" customFormat="1">
      <c r="A259" s="117"/>
      <c r="B259" s="118"/>
      <c r="C259" s="115"/>
      <c r="D259" s="28"/>
    </row>
    <row r="260" spans="1:4" s="39" customFormat="1">
      <c r="A260" s="117"/>
      <c r="B260" s="118"/>
      <c r="C260" s="115"/>
      <c r="D260" s="28"/>
    </row>
    <row r="261" spans="1:4" s="39" customFormat="1">
      <c r="A261" s="117"/>
      <c r="B261" s="118"/>
      <c r="C261" s="115"/>
      <c r="D261" s="28"/>
    </row>
    <row r="262" spans="1:4" s="39" customFormat="1">
      <c r="A262" s="117"/>
      <c r="B262" s="118"/>
      <c r="C262" s="115"/>
      <c r="D262" s="28"/>
    </row>
    <row r="263" spans="1:4" s="39" customFormat="1">
      <c r="A263" s="117"/>
      <c r="B263" s="118"/>
      <c r="C263" s="115"/>
      <c r="D263" s="28"/>
    </row>
    <row r="264" spans="1:4" s="39" customFormat="1">
      <c r="A264" s="117"/>
      <c r="B264" s="118"/>
      <c r="C264" s="115"/>
      <c r="D264" s="28"/>
    </row>
    <row r="265" spans="1:4" s="39" customFormat="1">
      <c r="A265" s="117"/>
      <c r="B265" s="118"/>
      <c r="C265" s="115"/>
      <c r="D265" s="28"/>
    </row>
    <row r="266" spans="1:4">
      <c r="A266" s="117"/>
      <c r="B266" s="118"/>
      <c r="C266" s="115"/>
      <c r="D266" s="28"/>
    </row>
    <row r="267" spans="1:4">
      <c r="A267" s="117"/>
      <c r="B267" s="118"/>
      <c r="C267" s="115"/>
      <c r="D267" s="28"/>
    </row>
    <row r="268" spans="1:4">
      <c r="A268" s="117"/>
      <c r="B268" s="118"/>
      <c r="C268" s="115"/>
      <c r="D268" s="28"/>
    </row>
    <row r="269" spans="1:4">
      <c r="A269" s="117"/>
      <c r="B269" s="118"/>
      <c r="C269" s="115"/>
      <c r="D269" s="28"/>
    </row>
    <row r="270" spans="1:4">
      <c r="A270" s="117"/>
      <c r="B270" s="118"/>
      <c r="C270" s="115"/>
      <c r="D270" s="28"/>
    </row>
    <row r="271" spans="1:4">
      <c r="A271" s="117"/>
      <c r="B271" s="118"/>
      <c r="C271" s="115"/>
      <c r="D271" s="28"/>
    </row>
    <row r="272" spans="1:4">
      <c r="A272" s="117"/>
      <c r="B272" s="118"/>
      <c r="C272" s="115"/>
      <c r="D272" s="28"/>
    </row>
    <row r="273" spans="1:4">
      <c r="A273" s="117"/>
      <c r="B273" s="118"/>
      <c r="C273" s="115"/>
      <c r="D273" s="28"/>
    </row>
    <row r="274" spans="1:4">
      <c r="A274" s="117"/>
      <c r="B274" s="118"/>
      <c r="C274" s="115"/>
      <c r="D274" s="28"/>
    </row>
    <row r="275" spans="1:4">
      <c r="A275" s="117"/>
      <c r="B275" s="118"/>
      <c r="C275" s="115"/>
      <c r="D275" s="28"/>
    </row>
    <row r="276" spans="1:4">
      <c r="A276" s="117"/>
      <c r="B276" s="118"/>
      <c r="C276" s="115"/>
      <c r="D276" s="28"/>
    </row>
    <row r="277" spans="1:4">
      <c r="A277" s="117"/>
      <c r="B277" s="118"/>
      <c r="C277" s="115"/>
      <c r="D277" s="28"/>
    </row>
    <row r="278" spans="1:4">
      <c r="A278" s="117"/>
      <c r="B278" s="118"/>
      <c r="C278" s="115"/>
      <c r="D278" s="28"/>
    </row>
    <row r="279" spans="1:4">
      <c r="A279" s="117"/>
      <c r="B279" s="118"/>
      <c r="C279" s="115"/>
      <c r="D279" s="28"/>
    </row>
    <row r="280" spans="1:4">
      <c r="A280" s="117"/>
      <c r="B280" s="118"/>
      <c r="C280" s="115"/>
      <c r="D280" s="28"/>
    </row>
    <row r="281" spans="1:4">
      <c r="A281" s="117"/>
      <c r="B281" s="118"/>
      <c r="C281" s="115"/>
      <c r="D281" s="28"/>
    </row>
    <row r="282" spans="1:4">
      <c r="A282" s="117"/>
      <c r="B282" s="118"/>
      <c r="C282" s="115"/>
      <c r="D282" s="28"/>
    </row>
    <row r="283" spans="1:4">
      <c r="A283" s="117"/>
      <c r="B283" s="118"/>
      <c r="C283" s="115"/>
      <c r="D283" s="28"/>
    </row>
    <row r="284" spans="1:4">
      <c r="A284" s="117"/>
      <c r="B284" s="118"/>
      <c r="C284" s="115"/>
      <c r="D284" s="28"/>
    </row>
    <row r="285" spans="1:4">
      <c r="A285" s="117"/>
      <c r="B285" s="118"/>
      <c r="C285" s="115"/>
      <c r="D285" s="28"/>
    </row>
    <row r="286" spans="1:4" s="41" customFormat="1">
      <c r="A286" s="117"/>
      <c r="B286" s="118"/>
      <c r="C286" s="115"/>
      <c r="D286" s="28"/>
    </row>
    <row r="287" spans="1:4">
      <c r="A287" s="117"/>
      <c r="B287" s="118"/>
      <c r="C287" s="115"/>
      <c r="D287" s="28"/>
    </row>
    <row r="288" spans="1:4">
      <c r="A288" s="117"/>
      <c r="B288" s="118"/>
      <c r="C288" s="115"/>
      <c r="D288" s="28"/>
    </row>
    <row r="289" spans="1:4">
      <c r="A289" s="117"/>
      <c r="B289" s="118"/>
      <c r="C289" s="115"/>
      <c r="D289" s="28"/>
    </row>
    <row r="290" spans="1:4">
      <c r="A290" s="117"/>
      <c r="B290" s="118"/>
      <c r="C290" s="115"/>
      <c r="D290" s="28"/>
    </row>
    <row r="291" spans="1:4">
      <c r="A291" s="117"/>
      <c r="B291" s="118"/>
      <c r="C291" s="115"/>
      <c r="D291" s="28"/>
    </row>
    <row r="292" spans="1:4">
      <c r="A292" s="117"/>
      <c r="B292" s="118"/>
      <c r="C292" s="115"/>
      <c r="D292" s="28"/>
    </row>
    <row r="293" spans="1:4">
      <c r="A293" s="117"/>
      <c r="B293" s="118"/>
      <c r="C293" s="115"/>
      <c r="D293" s="28"/>
    </row>
    <row r="294" spans="1:4">
      <c r="A294" s="117"/>
      <c r="B294" s="118"/>
      <c r="C294" s="115"/>
      <c r="D294" s="28"/>
    </row>
    <row r="295" spans="1:4">
      <c r="A295" s="117"/>
      <c r="B295" s="118"/>
      <c r="C295" s="115"/>
      <c r="D295" s="28"/>
    </row>
    <row r="296" spans="1:4">
      <c r="A296" s="117"/>
      <c r="B296" s="118"/>
      <c r="C296" s="115"/>
      <c r="D296" s="28"/>
    </row>
    <row r="297" spans="1:4">
      <c r="A297" s="117"/>
      <c r="B297" s="118"/>
      <c r="C297" s="115"/>
      <c r="D297" s="28"/>
    </row>
    <row r="298" spans="1:4">
      <c r="A298" s="117"/>
      <c r="B298" s="118"/>
      <c r="C298" s="115"/>
      <c r="D298" s="28"/>
    </row>
    <row r="299" spans="1:4">
      <c r="A299" s="117"/>
      <c r="B299" s="118"/>
      <c r="C299" s="115"/>
      <c r="D299" s="28"/>
    </row>
    <row r="300" spans="1:4">
      <c r="A300" s="117"/>
      <c r="B300" s="118"/>
      <c r="C300" s="115"/>
      <c r="D300" s="28"/>
    </row>
    <row r="301" spans="1:4">
      <c r="A301" s="117"/>
      <c r="B301" s="118"/>
      <c r="C301" s="115"/>
      <c r="D301" s="28"/>
    </row>
    <row r="302" spans="1:4" s="93" customFormat="1">
      <c r="A302" s="117"/>
      <c r="B302" s="118"/>
      <c r="C302" s="121"/>
      <c r="D302" s="116"/>
    </row>
    <row r="303" spans="1:4">
      <c r="A303" s="117"/>
      <c r="B303" s="118"/>
      <c r="C303" s="115"/>
      <c r="D303" s="28"/>
    </row>
    <row r="304" spans="1:4">
      <c r="A304" s="117"/>
      <c r="B304" s="118"/>
      <c r="C304" s="115"/>
      <c r="D304" s="28"/>
    </row>
    <row r="305" spans="1:4">
      <c r="A305" s="117"/>
      <c r="B305" s="118"/>
      <c r="C305" s="115"/>
      <c r="D305" s="28"/>
    </row>
    <row r="306" spans="1:4">
      <c r="A306" s="117"/>
      <c r="B306" s="118"/>
      <c r="C306" s="115"/>
      <c r="D306" s="28"/>
    </row>
    <row r="307" spans="1:4">
      <c r="A307" s="117"/>
      <c r="B307" s="118"/>
      <c r="C307" s="115"/>
      <c r="D307" s="28"/>
    </row>
    <row r="308" spans="1:4">
      <c r="A308" s="117"/>
      <c r="B308" s="118"/>
      <c r="C308" s="115"/>
      <c r="D308" s="28"/>
    </row>
    <row r="309" spans="1:4">
      <c r="A309" s="117"/>
      <c r="B309" s="118"/>
      <c r="C309" s="115"/>
      <c r="D309" s="28"/>
    </row>
    <row r="310" spans="1:4">
      <c r="A310" s="117"/>
      <c r="B310" s="118"/>
      <c r="C310" s="115"/>
      <c r="D310" s="28"/>
    </row>
    <row r="311" spans="1:4">
      <c r="A311" s="117"/>
      <c r="B311" s="118"/>
      <c r="C311" s="115"/>
      <c r="D311" s="28"/>
    </row>
    <row r="312" spans="1:4">
      <c r="A312" s="117"/>
      <c r="B312" s="118"/>
      <c r="C312" s="115"/>
      <c r="D312" s="28"/>
    </row>
    <row r="313" spans="1:4">
      <c r="A313" s="117"/>
      <c r="B313" s="118"/>
      <c r="C313" s="115"/>
      <c r="D313" s="28"/>
    </row>
    <row r="314" spans="1:4">
      <c r="A314" s="117"/>
      <c r="B314" s="118"/>
      <c r="C314" s="115"/>
      <c r="D314" s="28"/>
    </row>
    <row r="315" spans="1:4">
      <c r="A315" s="117"/>
      <c r="B315" s="118"/>
      <c r="C315" s="115"/>
      <c r="D315" s="28"/>
    </row>
    <row r="316" spans="1:4">
      <c r="A316" s="117"/>
      <c r="B316" s="118"/>
      <c r="C316" s="115"/>
      <c r="D316" s="28"/>
    </row>
    <row r="317" spans="1:4">
      <c r="A317" s="117"/>
      <c r="B317" s="118"/>
      <c r="C317" s="115"/>
      <c r="D317" s="28"/>
    </row>
    <row r="318" spans="1:4">
      <c r="A318" s="117"/>
      <c r="B318" s="118"/>
      <c r="C318" s="115"/>
      <c r="D318" s="28"/>
    </row>
    <row r="319" spans="1:4">
      <c r="A319" s="117"/>
      <c r="B319" s="118"/>
      <c r="C319" s="115"/>
      <c r="D319" s="28"/>
    </row>
    <row r="320" spans="1:4">
      <c r="A320" s="117"/>
      <c r="B320" s="118"/>
      <c r="C320" s="115"/>
      <c r="D320" s="28"/>
    </row>
    <row r="321" spans="1:4">
      <c r="A321" s="117"/>
      <c r="B321" s="118"/>
      <c r="C321" s="115"/>
      <c r="D321" s="28"/>
    </row>
    <row r="322" spans="1:4">
      <c r="A322" s="117"/>
      <c r="B322" s="118"/>
      <c r="C322" s="115"/>
      <c r="D322" s="28"/>
    </row>
    <row r="323" spans="1:4">
      <c r="A323" s="117"/>
      <c r="B323" s="118"/>
      <c r="C323" s="115"/>
      <c r="D323" s="28"/>
    </row>
    <row r="324" spans="1:4">
      <c r="A324" s="117"/>
      <c r="B324" s="118"/>
      <c r="C324" s="115"/>
      <c r="D324" s="28"/>
    </row>
    <row r="325" spans="1:4">
      <c r="A325" s="117"/>
      <c r="B325" s="118"/>
      <c r="C325" s="115"/>
      <c r="D325" s="28"/>
    </row>
    <row r="326" spans="1:4">
      <c r="A326" s="117"/>
      <c r="B326" s="118"/>
      <c r="C326" s="115"/>
      <c r="D326" s="28"/>
    </row>
    <row r="327" spans="1:4">
      <c r="A327" s="117"/>
      <c r="B327" s="118"/>
      <c r="C327" s="115"/>
      <c r="D327" s="28"/>
    </row>
    <row r="328" spans="1:4">
      <c r="A328" s="117"/>
      <c r="B328" s="118"/>
      <c r="C328" s="115"/>
      <c r="D328" s="28"/>
    </row>
    <row r="329" spans="1:4">
      <c r="A329" s="117"/>
      <c r="B329" s="118"/>
      <c r="C329" s="115"/>
      <c r="D329" s="28"/>
    </row>
    <row r="330" spans="1:4">
      <c r="A330" s="117"/>
      <c r="B330" s="118"/>
      <c r="C330" s="115"/>
      <c r="D330" s="28"/>
    </row>
    <row r="331" spans="1:4">
      <c r="A331" s="117"/>
      <c r="B331" s="118"/>
      <c r="C331" s="115"/>
      <c r="D331" s="28"/>
    </row>
    <row r="332" spans="1:4">
      <c r="A332" s="117"/>
      <c r="B332" s="118"/>
      <c r="C332" s="115"/>
      <c r="D332" s="28"/>
    </row>
    <row r="333" spans="1:4">
      <c r="A333" s="117"/>
      <c r="B333" s="118"/>
      <c r="C333" s="115"/>
      <c r="D333" s="28"/>
    </row>
    <row r="334" spans="1:4">
      <c r="A334" s="117"/>
      <c r="B334" s="118"/>
      <c r="C334" s="115"/>
      <c r="D334" s="28"/>
    </row>
    <row r="335" spans="1:4" s="41" customFormat="1">
      <c r="A335" s="117"/>
      <c r="B335" s="118"/>
      <c r="C335" s="115"/>
      <c r="D335" s="28"/>
    </row>
    <row r="336" spans="1:4">
      <c r="A336" s="117"/>
      <c r="B336" s="118"/>
      <c r="C336" s="115"/>
      <c r="D336" s="28"/>
    </row>
    <row r="337" spans="1:4">
      <c r="A337" s="117"/>
      <c r="B337" s="118"/>
      <c r="C337" s="115"/>
      <c r="D337" s="28"/>
    </row>
    <row r="338" spans="1:4">
      <c r="A338" s="117"/>
      <c r="B338" s="118"/>
      <c r="C338" s="115"/>
      <c r="D338" s="28"/>
    </row>
    <row r="339" spans="1:4">
      <c r="A339" s="117"/>
      <c r="B339" s="118"/>
      <c r="C339" s="115"/>
      <c r="D339" s="28"/>
    </row>
    <row r="340" spans="1:4">
      <c r="A340" s="117"/>
      <c r="B340" s="118"/>
      <c r="C340" s="115"/>
      <c r="D340" s="28"/>
    </row>
    <row r="341" spans="1:4">
      <c r="A341" s="117"/>
      <c r="B341" s="118"/>
      <c r="C341" s="115"/>
      <c r="D341" s="28"/>
    </row>
    <row r="342" spans="1:4">
      <c r="A342" s="117"/>
      <c r="B342" s="118"/>
      <c r="C342" s="115"/>
      <c r="D342" s="28"/>
    </row>
    <row r="343" spans="1:4">
      <c r="A343" s="117"/>
      <c r="B343" s="118"/>
      <c r="C343" s="115"/>
      <c r="D343" s="28"/>
    </row>
    <row r="344" spans="1:4">
      <c r="A344" s="117"/>
      <c r="B344" s="118"/>
      <c r="C344" s="115"/>
      <c r="D344" s="28"/>
    </row>
    <row r="345" spans="1:4">
      <c r="A345" s="117"/>
      <c r="B345" s="118"/>
      <c r="C345" s="115"/>
      <c r="D345" s="28"/>
    </row>
    <row r="346" spans="1:4">
      <c r="A346" s="117"/>
      <c r="B346" s="118"/>
      <c r="C346" s="115"/>
      <c r="D346" s="28"/>
    </row>
    <row r="347" spans="1:4">
      <c r="A347" s="117"/>
      <c r="B347" s="118"/>
      <c r="C347" s="115"/>
      <c r="D347" s="28"/>
    </row>
    <row r="348" spans="1:4">
      <c r="A348" s="117"/>
      <c r="B348" s="118"/>
      <c r="C348" s="115"/>
      <c r="D348" s="28"/>
    </row>
    <row r="349" spans="1:4">
      <c r="A349" s="117"/>
      <c r="B349" s="118"/>
      <c r="C349" s="115"/>
      <c r="D349" s="28"/>
    </row>
    <row r="350" spans="1:4">
      <c r="A350" s="117"/>
      <c r="B350" s="118"/>
      <c r="C350" s="115"/>
      <c r="D350" s="28"/>
    </row>
    <row r="351" spans="1:4">
      <c r="A351" s="117"/>
      <c r="B351" s="118"/>
      <c r="C351" s="115"/>
      <c r="D351" s="28"/>
    </row>
    <row r="352" spans="1:4">
      <c r="A352" s="117"/>
      <c r="B352" s="118"/>
      <c r="C352" s="115"/>
      <c r="D352" s="28"/>
    </row>
    <row r="353" spans="1:4">
      <c r="A353" s="117"/>
      <c r="B353" s="118"/>
      <c r="C353" s="115"/>
      <c r="D353" s="28"/>
    </row>
    <row r="354" spans="1:4">
      <c r="A354" s="117"/>
      <c r="B354" s="118"/>
      <c r="C354" s="115"/>
      <c r="D354" s="28"/>
    </row>
    <row r="355" spans="1:4">
      <c r="A355" s="117"/>
      <c r="B355" s="118"/>
      <c r="C355" s="115"/>
      <c r="D355" s="28"/>
    </row>
    <row r="356" spans="1:4">
      <c r="A356" s="117"/>
      <c r="B356" s="118"/>
      <c r="C356" s="115"/>
      <c r="D356" s="28"/>
    </row>
    <row r="357" spans="1:4">
      <c r="A357" s="117"/>
      <c r="B357" s="118"/>
      <c r="C357" s="115"/>
      <c r="D357" s="28"/>
    </row>
    <row r="358" spans="1:4">
      <c r="A358" s="117"/>
      <c r="B358" s="118"/>
      <c r="C358" s="115"/>
      <c r="D358" s="28"/>
    </row>
    <row r="359" spans="1:4">
      <c r="A359" s="117"/>
      <c r="B359" s="118"/>
      <c r="C359" s="115"/>
      <c r="D359" s="28"/>
    </row>
    <row r="360" spans="1:4">
      <c r="A360" s="117"/>
      <c r="B360" s="118"/>
      <c r="C360" s="115"/>
      <c r="D360" s="28"/>
    </row>
    <row r="361" spans="1:4">
      <c r="A361" s="117"/>
      <c r="B361" s="118"/>
      <c r="C361" s="115"/>
      <c r="D361" s="28"/>
    </row>
    <row r="362" spans="1:4">
      <c r="A362" s="117"/>
      <c r="B362" s="118"/>
      <c r="C362" s="115"/>
      <c r="D362" s="28"/>
    </row>
    <row r="363" spans="1:4">
      <c r="A363" s="117"/>
      <c r="B363" s="118"/>
      <c r="C363" s="115"/>
      <c r="D363" s="28"/>
    </row>
    <row r="364" spans="1:4">
      <c r="A364" s="117"/>
      <c r="B364" s="118"/>
      <c r="C364" s="115"/>
      <c r="D364" s="28"/>
    </row>
    <row r="365" spans="1:4">
      <c r="A365" s="117"/>
      <c r="B365" s="118"/>
      <c r="C365" s="115"/>
      <c r="D365" s="28"/>
    </row>
    <row r="366" spans="1:4">
      <c r="A366" s="117"/>
      <c r="B366" s="118"/>
      <c r="C366" s="115"/>
      <c r="D366" s="28"/>
    </row>
    <row r="367" spans="1:4">
      <c r="A367" s="117"/>
      <c r="B367" s="118"/>
      <c r="C367" s="115"/>
      <c r="D367" s="28"/>
    </row>
    <row r="368" spans="1:4">
      <c r="A368" s="117"/>
      <c r="B368" s="118"/>
      <c r="C368" s="115"/>
      <c r="D368" s="28"/>
    </row>
    <row r="369" spans="1:4">
      <c r="A369" s="117"/>
      <c r="B369" s="118"/>
      <c r="C369" s="115"/>
      <c r="D369" s="28"/>
    </row>
    <row r="370" spans="1:4">
      <c r="A370" s="117"/>
      <c r="B370" s="118"/>
      <c r="C370" s="115"/>
      <c r="D370" s="28"/>
    </row>
    <row r="371" spans="1:4">
      <c r="A371" s="117"/>
      <c r="B371" s="118"/>
      <c r="C371" s="115"/>
      <c r="D371" s="28"/>
    </row>
    <row r="372" spans="1:4">
      <c r="A372" s="117"/>
      <c r="B372" s="118"/>
      <c r="C372" s="115"/>
      <c r="D372" s="116"/>
    </row>
    <row r="373" spans="1:4">
      <c r="A373" s="117"/>
      <c r="B373" s="118"/>
      <c r="C373" s="115"/>
      <c r="D373" s="116"/>
    </row>
    <row r="374" spans="1:4">
      <c r="A374" s="117"/>
      <c r="B374" s="118"/>
      <c r="C374" s="115"/>
      <c r="D374" s="116"/>
    </row>
    <row r="375" spans="1:4">
      <c r="A375" s="117"/>
      <c r="B375" s="120"/>
      <c r="C375" s="121"/>
      <c r="D375" s="116"/>
    </row>
    <row r="376" spans="1:4">
      <c r="A376" s="117"/>
      <c r="B376" s="120"/>
      <c r="C376" s="121"/>
      <c r="D376" s="116"/>
    </row>
    <row r="377" spans="1:4">
      <c r="A377" s="117"/>
      <c r="B377" s="120"/>
      <c r="C377" s="121"/>
      <c r="D377" s="116"/>
    </row>
    <row r="378" spans="1:4">
      <c r="A378" s="117"/>
      <c r="B378" s="120"/>
      <c r="C378" s="121"/>
      <c r="D378" s="116"/>
    </row>
    <row r="379" spans="1:4">
      <c r="A379" s="117"/>
      <c r="B379" s="120"/>
      <c r="C379" s="121"/>
      <c r="D379" s="116"/>
    </row>
    <row r="380" spans="1:4">
      <c r="A380" s="117"/>
      <c r="B380" s="120"/>
      <c r="C380" s="121"/>
      <c r="D380" s="116"/>
    </row>
    <row r="381" spans="1:4">
      <c r="A381" s="117"/>
      <c r="B381" s="120"/>
      <c r="C381" s="121"/>
      <c r="D381" s="116"/>
    </row>
  </sheetData>
  <pageMargins left="0.7" right="0.7" top="0.75" bottom="0.75" header="0.3" footer="0.3"/>
  <pageSetup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E44"/>
  <sheetViews>
    <sheetView zoomScaleNormal="100" workbookViewId="0">
      <selection activeCell="C30" sqref="C30"/>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TC20</v>
      </c>
    </row>
    <row r="3" spans="1:5">
      <c r="A3" s="100" t="s">
        <v>19</v>
      </c>
      <c r="B3" s="108">
        <f ca="1">VLOOKUP(B2,Table1[#All],2,FALSE)</f>
        <v>0</v>
      </c>
    </row>
    <row r="4" spans="1:5" ht="30">
      <c r="A4" s="109" t="s">
        <v>20</v>
      </c>
      <c r="B4" s="95" t="str">
        <f ca="1">VLOOKUP(B2,Table1[#All],4,FALSE)</f>
        <v>svcArea=finSvcs, ServiceType=make Payment, SvcArea not Collections</v>
      </c>
    </row>
    <row r="5" spans="1:5" ht="30">
      <c r="A5" s="100" t="s">
        <v>6</v>
      </c>
      <c r="B5" s="89" t="str">
        <f ca="1">VLOOKUP(B2,Table1[#All],3,FALSE)</f>
        <v>CallStart Main Menu /Payments /Mk Pmt/ID Auth/ID Auth=NOT True, Xfer</v>
      </c>
    </row>
    <row r="7" spans="1:5" ht="15.75">
      <c r="A7" s="96" t="s">
        <v>7</v>
      </c>
      <c r="B7" s="97" t="s">
        <v>8</v>
      </c>
      <c r="C7" s="98" t="s">
        <v>9</v>
      </c>
      <c r="D7" s="98" t="s">
        <v>14</v>
      </c>
      <c r="E7" s="99" t="s">
        <v>10</v>
      </c>
    </row>
    <row r="8" spans="1:5" s="93" customFormat="1">
      <c r="A8" s="114">
        <v>1</v>
      </c>
      <c r="B8" s="110" t="s">
        <v>114</v>
      </c>
      <c r="C8" s="124" t="s">
        <v>125</v>
      </c>
      <c r="D8" s="125"/>
      <c r="E8" s="122" t="s">
        <v>11</v>
      </c>
    </row>
    <row r="9" spans="1:5" s="93" customFormat="1">
      <c r="A9" s="114">
        <v>2</v>
      </c>
      <c r="B9" s="110" t="s">
        <v>115</v>
      </c>
      <c r="C9" s="105" t="str">
        <f>VLOOKUP(Table257552526910134344464748[[#This Row],[PEG]],Table1016[#All],2,FALSE)</f>
        <v>CallID.wav Call ID &lt;CallID&gt;</v>
      </c>
      <c r="D9" s="145" t="s">
        <v>477</v>
      </c>
      <c r="E9" s="122" t="str">
        <f>VLOOKUP(Table257552526910134344464748[[#This Row],[PEG]],Table1016[#All],3,FALSE)</f>
        <v>TEST</v>
      </c>
    </row>
    <row r="10" spans="1:5" s="93" customFormat="1" ht="30">
      <c r="A10" s="114">
        <v>3</v>
      </c>
      <c r="B10" s="110" t="s">
        <v>115</v>
      </c>
      <c r="C10" s="105" t="str">
        <f>VLOOKUP(Table257552526910134344464748[[#This Row],[PEG]],Table1016[#All],2,FALSE)</f>
        <v>0100.wav Thank you for calling Shell vacations Club, we are glad you called. Please have your account number available for faster service. [To continue in Spanish, press 9]</v>
      </c>
      <c r="D10" s="145">
        <v>100</v>
      </c>
      <c r="E10" s="122" t="str">
        <f>VLOOKUP(Table257552526910134344464748[[#This Row],[PEG]],Table1016[#All],3,FALSE)</f>
        <v>PLAY PROMPT</v>
      </c>
    </row>
    <row r="11" spans="1:5" s="93" customFormat="1" ht="30">
      <c r="A11" s="114">
        <v>4</v>
      </c>
      <c r="B11" s="110" t="s">
        <v>115</v>
      </c>
      <c r="C11" s="105" t="str">
        <f>VLOOKUP(Table257552526910134344464748[[#This Row],[PEG]],Table1016[#All],2,FALSE)</f>
        <v>0110-1.wav Which would you like? You can say... reservations, payments &amp; statements, title &amp; ownership changes, or more options.</v>
      </c>
      <c r="D11" s="145">
        <v>110</v>
      </c>
      <c r="E11" s="122" t="str">
        <f>VLOOKUP(Table257552526910134344464748[[#This Row],[PEG]],Table1016[#All],3,FALSE)</f>
        <v>MENU PROMPT</v>
      </c>
    </row>
    <row r="12" spans="1:5" s="93" customFormat="1">
      <c r="A12" s="114">
        <v>5</v>
      </c>
      <c r="B12" s="110" t="s">
        <v>124</v>
      </c>
      <c r="C12" s="105" t="s">
        <v>572</v>
      </c>
      <c r="D12" s="145"/>
      <c r="E12" s="122" t="e">
        <f>VLOOKUP(Table257552526910134344464748[[#This Row],[PEG]],Table1016[#All],3,FALSE)</f>
        <v>#N/A</v>
      </c>
    </row>
    <row r="13" spans="1:5" s="93" customFormat="1" ht="30">
      <c r="A13" s="114">
        <v>6</v>
      </c>
      <c r="B13" s="110" t="s">
        <v>115</v>
      </c>
      <c r="C13" s="105" t="str">
        <f>VLOOKUP(Table257552526910134344464748[[#This Row],[PEG]],Table1016[#All],2,FALSE)</f>
        <v>400.wav You can say make a payment, check account status, request a document, or more options. Which would you like?</v>
      </c>
      <c r="D13" s="145">
        <v>400</v>
      </c>
      <c r="E13" s="122" t="str">
        <f>VLOOKUP(Table257552526910134344464748[[#This Row],[PEG]],Table1016[#All],3,FALSE)</f>
        <v>MENU PROMPT</v>
      </c>
    </row>
    <row r="14" spans="1:5" s="93" customFormat="1">
      <c r="A14" s="114">
        <v>7</v>
      </c>
      <c r="B14" s="110" t="s">
        <v>124</v>
      </c>
      <c r="C14" s="105" t="s">
        <v>566</v>
      </c>
      <c r="D14" s="125"/>
      <c r="E14" s="122" t="e">
        <f>VLOOKUP(Table257552526910134344464748[[#This Row],[PEG]],Table1016[#All],3,FALSE)</f>
        <v>#N/A</v>
      </c>
    </row>
    <row r="15" spans="1:5">
      <c r="A15" s="114">
        <v>8</v>
      </c>
      <c r="B15" s="110" t="s">
        <v>115</v>
      </c>
      <c r="C15" s="105" t="str">
        <f>VLOOKUP(Table257552526910134344464748[[#This Row],[PEG]],Table1016[#All],2,FALSE)</f>
        <v>0200-1.wav To get started, what is your account number?</v>
      </c>
      <c r="D15" s="112">
        <v>200</v>
      </c>
      <c r="E15" s="122" t="str">
        <f>VLOOKUP(Table257552526910134344464748[[#This Row],[PEG]],Table1016[#All],3,FALSE)</f>
        <v>MENU PROMPT</v>
      </c>
    </row>
    <row r="16" spans="1:5">
      <c r="A16" s="114">
        <v>9</v>
      </c>
      <c r="B16" s="110" t="s">
        <v>114</v>
      </c>
      <c r="C16" s="105" t="s">
        <v>515</v>
      </c>
      <c r="D16" s="112"/>
      <c r="E16" s="122" t="e">
        <f>VLOOKUP(Table257552526910134344464748[[#This Row],[PEG]],Table1016[#All],3,FALSE)</f>
        <v>#N/A</v>
      </c>
    </row>
    <row r="17" spans="1:5">
      <c r="A17" s="114">
        <v>10</v>
      </c>
      <c r="B17" s="110" t="s">
        <v>115</v>
      </c>
      <c r="C17" s="105" t="str">
        <f>VLOOKUP(Table257552526910134344464748[[#This Row],[PEG]],Table1016[#All],2,FALSE)</f>
        <v>0210-1.wav And the date of birth for the primary owner?</v>
      </c>
      <c r="D17" s="113">
        <v>210</v>
      </c>
      <c r="E17" s="122" t="str">
        <f>VLOOKUP(Table257552526910134344464748[[#This Row],[PEG]],Table1016[#All],3,FALSE)</f>
        <v>MENU PROMPT</v>
      </c>
    </row>
    <row r="18" spans="1:5">
      <c r="A18" s="114">
        <v>11</v>
      </c>
      <c r="B18" s="110" t="s">
        <v>124</v>
      </c>
      <c r="C18" s="105" t="s">
        <v>568</v>
      </c>
      <c r="D18" s="113"/>
      <c r="E18" s="122" t="e">
        <f>VLOOKUP(Table257552526910134344464748[[#This Row],[PEG]],Table1016[#All],3,FALSE)</f>
        <v>#N/A</v>
      </c>
    </row>
    <row r="19" spans="1:5" ht="30">
      <c r="A19" s="114">
        <v>12</v>
      </c>
      <c r="B19" s="110" t="s">
        <v>115</v>
      </c>
      <c r="C19" s="124" t="str">
        <f>VLOOKUP(Table257552526910134344464748[[#This Row],[PEG]],Table1016[#All],2,FALSE)</f>
        <v>0220.wav I couldn't find an account matching the information you provided. Let's try one more time. What is your account number?</v>
      </c>
      <c r="D19" s="113">
        <v>220</v>
      </c>
      <c r="E19" s="122" t="str">
        <f>VLOOKUP(Table257552526910134344464748[[#This Row],[PEG]],Table1016[#All],3,FALSE)</f>
        <v>MENU PROMPT</v>
      </c>
    </row>
    <row r="20" spans="1:5">
      <c r="A20" s="114">
        <v>13</v>
      </c>
      <c r="B20" s="110" t="s">
        <v>115</v>
      </c>
      <c r="C20" s="105" t="str">
        <f>VLOOKUP(Table257552526910134344464748[[#This Row],[PEG]],Table1016[#All],2,FALSE)</f>
        <v>0200-1.wav To get started, what is your account number?</v>
      </c>
      <c r="D20" s="113">
        <v>200</v>
      </c>
      <c r="E20" s="122" t="str">
        <f>VLOOKUP(Table257552526910134344464748[[#This Row],[PEG]],Table1016[#All],3,FALSE)</f>
        <v>MENU PROMPT</v>
      </c>
    </row>
    <row r="21" spans="1:5">
      <c r="A21" s="114">
        <v>14</v>
      </c>
      <c r="B21" s="110" t="s">
        <v>114</v>
      </c>
      <c r="C21" s="105" t="s">
        <v>515</v>
      </c>
      <c r="D21" s="113"/>
      <c r="E21" s="122" t="e">
        <f>VLOOKUP(Table257552526910134344464748[[#This Row],[PEG]],Table1016[#All],3,FALSE)</f>
        <v>#N/A</v>
      </c>
    </row>
    <row r="22" spans="1:5">
      <c r="A22" s="114">
        <v>15</v>
      </c>
      <c r="B22" s="110" t="s">
        <v>115</v>
      </c>
      <c r="C22" s="105" t="str">
        <f>VLOOKUP(Table257552526910134344464748[[#This Row],[PEG]],Table1016[#All],2,FALSE)</f>
        <v>0210-1.wav And the date of birth for the primary owner?</v>
      </c>
      <c r="D22" s="113">
        <v>210</v>
      </c>
      <c r="E22" s="122" t="str">
        <f>VLOOKUP(Table257552526910134344464748[[#This Row],[PEG]],Table1016[#All],3,FALSE)</f>
        <v>MENU PROMPT</v>
      </c>
    </row>
    <row r="23" spans="1:5">
      <c r="A23" s="114">
        <v>16</v>
      </c>
      <c r="B23" s="110" t="s">
        <v>569</v>
      </c>
      <c r="C23" s="151" t="s">
        <v>568</v>
      </c>
      <c r="D23" s="113"/>
      <c r="E23" s="122" t="e">
        <f>VLOOKUP(Table257552526910134344464748[[#This Row],[PEG]],Table1016[#All],3,FALSE)</f>
        <v>#N/A</v>
      </c>
    </row>
    <row r="24" spans="1:5">
      <c r="A24" s="114">
        <v>17</v>
      </c>
      <c r="B24" s="110" t="s">
        <v>115</v>
      </c>
      <c r="C24" s="105" t="str">
        <f>VLOOKUP(Table257552526910134344464748[[#This Row],[PEG]],Table1016[#All],2,FALSE)</f>
        <v>0900.wav Please hold, while I connect you to a customer service representative.</v>
      </c>
      <c r="D24" s="113">
        <v>900</v>
      </c>
      <c r="E24" s="122" t="str">
        <f>VLOOKUP(Table257552526910134344464748[[#This Row],[PEG]],Table1016[#All],3,FALSE)</f>
        <v>PLAY PROMPT</v>
      </c>
    </row>
    <row r="25" spans="1:5">
      <c r="A25" s="114">
        <v>18</v>
      </c>
      <c r="B25" s="110" t="s">
        <v>115</v>
      </c>
      <c r="C25" s="105" t="str">
        <f>VLOOKUP(Table257552526910134344464748[[#This Row],[PEG]],Table1016[#All],2,FALSE)</f>
        <v>XferNbr.wav Transfer Number &lt;TransferNbr&gt;</v>
      </c>
      <c r="D25" s="113" t="s">
        <v>480</v>
      </c>
      <c r="E25" s="122" t="str">
        <f>VLOOKUP(Table257552526910134344464748[[#This Row],[PEG]],Table1016[#All],3,FALSE)</f>
        <v>TEST</v>
      </c>
    </row>
    <row r="26" spans="1:5">
      <c r="A26" s="114">
        <v>19</v>
      </c>
      <c r="B26" s="110" t="s">
        <v>13</v>
      </c>
      <c r="C26" s="105" t="s">
        <v>13</v>
      </c>
      <c r="D26" s="113"/>
      <c r="E26" s="122" t="e">
        <f>VLOOKUP(Table257552526910134344464748[[#This Row],[PEG]],Table1016[#All],3,FALSE)</f>
        <v>#N/A</v>
      </c>
    </row>
    <row r="27" spans="1:5">
      <c r="C27" s="25"/>
      <c r="D27" s="107" t="s">
        <v>0</v>
      </c>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5"/>
    </row>
    <row r="39" spans="3:3">
      <c r="C39" s="25"/>
    </row>
    <row r="40" spans="3:3">
      <c r="C40" s="25"/>
    </row>
    <row r="41" spans="3:3">
      <c r="C41" s="25"/>
    </row>
    <row r="42" spans="3:3">
      <c r="C42" s="26"/>
    </row>
    <row r="43" spans="3:3">
      <c r="C43" s="26"/>
    </row>
    <row r="44" spans="3:3">
      <c r="C44" s="26"/>
    </row>
  </sheetData>
  <mergeCells count="1">
    <mergeCell ref="A1:B1"/>
  </mergeCells>
  <conditionalFormatting sqref="C23:C9983">
    <cfRule type="expression" dxfId="6139" priority="27">
      <formula>$B23="Dial"</formula>
    </cfRule>
    <cfRule type="expression" dxfId="6138" priority="29">
      <formula>$B23="HANGUP"</formula>
    </cfRule>
  </conditionalFormatting>
  <conditionalFormatting sqref="B8:B26">
    <cfRule type="containsText" dxfId="6137" priority="11" operator="containsText" text="Hear">
      <formula>NOT(ISERROR(SEARCH("Hear",B8)))</formula>
    </cfRule>
  </conditionalFormatting>
  <conditionalFormatting sqref="C18 C9:C16 C20:C21">
    <cfRule type="expression" dxfId="6136" priority="12">
      <formula>$B9="Dial"</formula>
    </cfRule>
    <cfRule type="expression" dxfId="6135" priority="14">
      <formula>$B9="HANGUP"</formula>
    </cfRule>
  </conditionalFormatting>
  <conditionalFormatting sqref="C18 C9:C16 C20:C21 C23:C26">
    <cfRule type="expression" dxfId="6134" priority="13">
      <formula>$B9="Speak"</formula>
    </cfRule>
  </conditionalFormatting>
  <conditionalFormatting sqref="C8 C19">
    <cfRule type="expression" dxfId="6133" priority="7">
      <formula>$B8="Dial"</formula>
    </cfRule>
    <cfRule type="expression" dxfId="6132" priority="8">
      <formula>$B8="HANGUP"</formula>
    </cfRule>
  </conditionalFormatting>
  <conditionalFormatting sqref="C17">
    <cfRule type="expression" dxfId="6131" priority="4">
      <formula>$B17="Dial"</formula>
    </cfRule>
    <cfRule type="expression" dxfId="6130" priority="6">
      <formula>$B17="HANGUP"</formula>
    </cfRule>
  </conditionalFormatting>
  <conditionalFormatting sqref="C17">
    <cfRule type="expression" dxfId="6129" priority="5">
      <formula>$B17="Speak"</formula>
    </cfRule>
  </conditionalFormatting>
  <conditionalFormatting sqref="C22">
    <cfRule type="expression" dxfId="6128" priority="1">
      <formula>$B22="Dial"</formula>
    </cfRule>
    <cfRule type="expression" dxfId="6127" priority="3">
      <formula>$B22="HANGUP"</formula>
    </cfRule>
  </conditionalFormatting>
  <conditionalFormatting sqref="C22">
    <cfRule type="expression" dxfId="6126" priority="2">
      <formula>$B22="Speak"</formula>
    </cfRule>
  </conditionalFormatting>
  <hyperlinks>
    <hyperlink ref="A1" location="'Test Case Overview'!A1" display="Return to Test Case Overview" xr:uid="{00000000-0004-0000-1400-000000000000}"/>
  </hyperlink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33" operator="containsText" text="WEB SERVICE" id="{CC434119-D23C-4E92-9E68-A5DEAAEFDF19}">
            <xm:f>NOT(ISERROR(SEARCH("WEB SERVICE",'TC1'!E10)))</xm:f>
            <x14:dxf>
              <font>
                <color rgb="FF9C0006"/>
              </font>
              <fill>
                <patternFill>
                  <bgColor rgb="FFFFC7CE"/>
                </patternFill>
              </fill>
            </x14:dxf>
          </x14:cfRule>
          <x14:cfRule type="containsText" priority="33" operator="containsText" text="DB" id="{DD6BE2C4-6BDC-46E7-9D14-6CC4235DE755}">
            <xm:f>NOT(ISERROR(SEARCH("DB",'TC1'!E10)))</xm:f>
            <x14:dxf>
              <font>
                <color rgb="FF006100"/>
              </font>
              <fill>
                <patternFill>
                  <bgColor rgb="FFC6EFCE"/>
                </patternFill>
              </fill>
            </x14:dxf>
          </x14:cfRule>
          <xm:sqref>E9:E12</xm:sqref>
        </x14:conditionalFormatting>
        <x14:conditionalFormatting xmlns:xm="http://schemas.microsoft.com/office/excel/2006/main">
          <x14:cfRule type="containsText" priority="753" operator="containsText" text="WEB SERVICE" id="{CC434119-D23C-4E92-9E68-A5DEAAEFDF19}">
            <xm:f>NOT(ISERROR(SEARCH("WEB SERVICE",'TC1'!#REF!)))</xm:f>
            <x14:dxf>
              <font>
                <color rgb="FF9C0006"/>
              </font>
              <fill>
                <patternFill>
                  <bgColor rgb="FFFFC7CE"/>
                </patternFill>
              </fill>
            </x14:dxf>
          </x14:cfRule>
          <x14:cfRule type="containsText" priority="754" operator="containsText" text="DB" id="{DD6BE2C4-6BDC-46E7-9D14-6CC4235DE755}">
            <xm:f>NOT(ISERROR(SEARCH("DB",'TC1'!#REF!)))</xm:f>
            <x14:dxf>
              <font>
                <color rgb="FF006100"/>
              </font>
              <fill>
                <patternFill>
                  <bgColor rgb="FFC6EFCE"/>
                </patternFill>
              </fill>
            </x14:dxf>
          </x14:cfRule>
          <xm:sqref>E13:E26</xm:sqref>
        </x14:conditionalFormatting>
      </x14:conditionalFormatting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dimension ref="A1:E39"/>
  <sheetViews>
    <sheetView zoomScaleNormal="100" workbookViewId="0">
      <selection activeCell="C35" sqref="C35"/>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TC21</v>
      </c>
    </row>
    <row r="3" spans="1:5">
      <c r="A3" s="100" t="s">
        <v>19</v>
      </c>
      <c r="B3" s="108">
        <f ca="1">VLOOKUP(B2,Table1[#All],2,FALSE)</f>
        <v>0</v>
      </c>
    </row>
    <row r="4" spans="1:5" ht="30">
      <c r="A4" s="109" t="s">
        <v>20</v>
      </c>
      <c r="B4" s="95">
        <f ca="1">VLOOKUP(B2,Table1[#All],4,FALSE)</f>
        <v>0</v>
      </c>
    </row>
    <row r="5" spans="1:5">
      <c r="A5" s="100" t="s">
        <v>6</v>
      </c>
      <c r="B5" s="89" t="str">
        <f ca="1">VLOOKUP(B2,Table1[#All],3,FALSE)</f>
        <v>Coll Inbd/ /ID Auth/ID Auth Not True, Xfer</v>
      </c>
    </row>
    <row r="7" spans="1:5" ht="15.75">
      <c r="A7" s="96" t="s">
        <v>7</v>
      </c>
      <c r="B7" s="97" t="s">
        <v>8</v>
      </c>
      <c r="C7" s="98" t="s">
        <v>9</v>
      </c>
      <c r="D7" s="98" t="s">
        <v>14</v>
      </c>
      <c r="E7" s="99" t="s">
        <v>10</v>
      </c>
    </row>
    <row r="8" spans="1:5">
      <c r="A8" s="114">
        <v>1</v>
      </c>
      <c r="B8" s="110" t="s">
        <v>114</v>
      </c>
      <c r="C8" s="124" t="s">
        <v>475</v>
      </c>
      <c r="D8" s="125"/>
      <c r="E8" s="122" t="s">
        <v>11</v>
      </c>
    </row>
    <row r="9" spans="1:5">
      <c r="A9" s="114">
        <v>2</v>
      </c>
      <c r="B9" s="110" t="s">
        <v>115</v>
      </c>
      <c r="C9" s="105" t="str">
        <f>VLOOKUP(Table25755252691013434446474849[[#This Row],[PEG]],Table1016[#All],2,FALSE)</f>
        <v>CallID.wav Call ID &lt;CallID&gt;</v>
      </c>
      <c r="D9" s="145" t="s">
        <v>477</v>
      </c>
      <c r="E9" s="122" t="str">
        <f>VLOOKUP(Table25755252691013434446474849[[#This Row],[PEG]],Table1016[#All],3,FALSE)</f>
        <v>TEST</v>
      </c>
    </row>
    <row r="10" spans="1:5">
      <c r="A10" s="114">
        <v>3</v>
      </c>
      <c r="B10" s="110" t="s">
        <v>115</v>
      </c>
      <c r="C10" s="105" t="str">
        <f>VLOOKUP(Table25755252691013434446474849[[#This Row],[PEG]],Table1016[#All],2,FALSE)</f>
        <v>0130.wav Thank you for calling &lt;brand&gt;... [To continue in Spanish, press 9]</v>
      </c>
      <c r="D10" s="145">
        <v>130</v>
      </c>
      <c r="E10" s="122" t="str">
        <f>VLOOKUP(Table25755252691013434446474849[[#This Row],[PEG]],Table1016[#All],3,FALSE)</f>
        <v>PLAY PROMPT</v>
      </c>
    </row>
    <row r="11" spans="1:5">
      <c r="A11" s="114">
        <v>4</v>
      </c>
      <c r="B11" s="110" t="s">
        <v>115</v>
      </c>
      <c r="C11" s="105" t="str">
        <f>VLOOKUP(Table25755252691013434446474849[[#This Row],[PEG]],Table1016[#All],2,FALSE)</f>
        <v>0200-1.wav To get started, what is your account number?</v>
      </c>
      <c r="D11" s="145">
        <v>200</v>
      </c>
      <c r="E11" s="122" t="str">
        <f>VLOOKUP(Table25755252691013434446474849[[#This Row],[PEG]],Table1016[#All],3,FALSE)</f>
        <v>MENU PROMPT</v>
      </c>
    </row>
    <row r="12" spans="1:5">
      <c r="A12" s="114">
        <v>5</v>
      </c>
      <c r="B12" s="110" t="s">
        <v>114</v>
      </c>
      <c r="C12" s="105" t="s">
        <v>515</v>
      </c>
      <c r="D12" s="145"/>
      <c r="E12" s="122" t="e">
        <f>VLOOKUP(Table25755252691013434446474849[[#This Row],[PEG]],Table1016[#All],3,FALSE)</f>
        <v>#N/A</v>
      </c>
    </row>
    <row r="13" spans="1:5">
      <c r="A13" s="114">
        <v>6</v>
      </c>
      <c r="B13" s="110" t="s">
        <v>115</v>
      </c>
      <c r="C13" s="105" t="str">
        <f>VLOOKUP(Table25755252691013434446474849[[#This Row],[PEG]],Table1016[#All],2,FALSE)</f>
        <v>0210-1.wav And the date of birth for the primary owner?</v>
      </c>
      <c r="D13" s="145">
        <v>210</v>
      </c>
      <c r="E13" s="122" t="str">
        <f>VLOOKUP(Table25755252691013434446474849[[#This Row],[PEG]],Table1016[#All],3,FALSE)</f>
        <v>MENU PROMPT</v>
      </c>
    </row>
    <row r="14" spans="1:5">
      <c r="A14" s="114">
        <v>7</v>
      </c>
      <c r="B14" s="110" t="s">
        <v>114</v>
      </c>
      <c r="C14" s="105" t="s">
        <v>568</v>
      </c>
      <c r="D14" s="125"/>
      <c r="E14" s="122" t="e">
        <f>VLOOKUP(Table25755252691013434446474849[[#This Row],[PEG]],Table1016[#All],3,FALSE)</f>
        <v>#N/A</v>
      </c>
    </row>
    <row r="15" spans="1:5" ht="30">
      <c r="A15" s="114">
        <v>8</v>
      </c>
      <c r="B15" s="110" t="s">
        <v>115</v>
      </c>
      <c r="C15" s="105" t="str">
        <f>VLOOKUP(Table25755252691013434446474849[[#This Row],[PEG]],Table1016[#All],2,FALSE)</f>
        <v>0220.wav I couldn't find an account matching the information you provided. Let's try one more time. What is your account number?</v>
      </c>
      <c r="D15" s="112">
        <v>220</v>
      </c>
      <c r="E15" s="122" t="str">
        <f>VLOOKUP(Table25755252691013434446474849[[#This Row],[PEG]],Table1016[#All],3,FALSE)</f>
        <v>MENU PROMPT</v>
      </c>
    </row>
    <row r="16" spans="1:5">
      <c r="A16" s="114">
        <v>9</v>
      </c>
      <c r="B16" s="110" t="s">
        <v>114</v>
      </c>
      <c r="C16" s="105" t="s">
        <v>515</v>
      </c>
      <c r="D16" s="112"/>
      <c r="E16" s="122" t="e">
        <f>VLOOKUP(Table25755252691013434446474849[[#This Row],[PEG]],Table1016[#All],3,FALSE)</f>
        <v>#N/A</v>
      </c>
    </row>
    <row r="17" spans="1:5">
      <c r="A17" s="114">
        <v>10</v>
      </c>
      <c r="B17" s="110" t="s">
        <v>115</v>
      </c>
      <c r="C17" s="127" t="str">
        <f>VLOOKUP(Table25755252691013434446474849[[#This Row],[PEG]],Table1016[#All],2,FALSE)</f>
        <v>0210-1.wav And the date of birth for the primary owner?</v>
      </c>
      <c r="D17" s="113">
        <v>210</v>
      </c>
      <c r="E17" s="122" t="str">
        <f>VLOOKUP(Table25755252691013434446474849[[#This Row],[PEG]],Table1016[#All],3,FALSE)</f>
        <v>MENU PROMPT</v>
      </c>
    </row>
    <row r="18" spans="1:5">
      <c r="A18" s="114">
        <v>11</v>
      </c>
      <c r="B18" s="110" t="s">
        <v>115</v>
      </c>
      <c r="C18" s="151" t="s">
        <v>568</v>
      </c>
      <c r="D18" s="113"/>
      <c r="E18" s="122" t="e">
        <f>VLOOKUP(Table25755252691013434446474849[[#This Row],[PEG]],Table1016[#All],3,FALSE)</f>
        <v>#N/A</v>
      </c>
    </row>
    <row r="19" spans="1:5">
      <c r="A19" s="114">
        <v>12</v>
      </c>
      <c r="B19" s="110" t="s">
        <v>115</v>
      </c>
      <c r="C19" s="124" t="str">
        <f>VLOOKUP(Table25755252691013434446474849[[#This Row],[PEG]],Table1016[#All],2,FALSE)</f>
        <v>0900.wav Please hold, while I connect you to a customer service representative.</v>
      </c>
      <c r="D19" s="113">
        <v>900</v>
      </c>
      <c r="E19" s="122" t="str">
        <f>VLOOKUP(Table25755252691013434446474849[[#This Row],[PEG]],Table1016[#All],3,FALSE)</f>
        <v>PLAY PROMPT</v>
      </c>
    </row>
    <row r="20" spans="1:5">
      <c r="A20" s="114">
        <v>13</v>
      </c>
      <c r="B20" s="110" t="s">
        <v>114</v>
      </c>
      <c r="C20" s="105" t="str">
        <f>VLOOKUP(Table25755252691013434446474849[[#This Row],[PEG]],Table1016[#All],2,FALSE)</f>
        <v>XferNbr.wav Transfer Number &lt;TransferNbr&gt;</v>
      </c>
      <c r="D20" s="113" t="s">
        <v>480</v>
      </c>
      <c r="E20" s="122" t="str">
        <f>VLOOKUP(Table25755252691013434446474849[[#This Row],[PEG]],Table1016[#All],3,FALSE)</f>
        <v>TEST</v>
      </c>
    </row>
    <row r="21" spans="1:5">
      <c r="A21" s="114">
        <v>14</v>
      </c>
      <c r="B21" s="110" t="s">
        <v>13</v>
      </c>
      <c r="C21" s="105" t="s">
        <v>13</v>
      </c>
      <c r="D21" s="111"/>
      <c r="E21" s="31"/>
    </row>
    <row r="22" spans="1:5">
      <c r="C22" s="25"/>
      <c r="D22" s="107" t="s">
        <v>0</v>
      </c>
    </row>
    <row r="23" spans="1:5">
      <c r="C23" s="25"/>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6"/>
    </row>
    <row r="38" spans="3:3">
      <c r="C38" s="26"/>
    </row>
    <row r="39" spans="3:3">
      <c r="C39" s="26"/>
    </row>
  </sheetData>
  <mergeCells count="1">
    <mergeCell ref="A1:B1"/>
  </mergeCells>
  <conditionalFormatting sqref="E21">
    <cfRule type="containsText" dxfId="6112" priority="32" operator="containsText" text="WEB SERVICE">
      <formula>NOT(ISERROR(SEARCH("WEB SERVICE",E21)))</formula>
    </cfRule>
    <cfRule type="containsText" dxfId="6111" priority="33" operator="containsText" text="DB">
      <formula>NOT(ISERROR(SEARCH("DB",E21)))</formula>
    </cfRule>
  </conditionalFormatting>
  <conditionalFormatting sqref="C20:C9978">
    <cfRule type="expression" dxfId="6110" priority="35">
      <formula>$B20="Dial"</formula>
    </cfRule>
    <cfRule type="expression" dxfId="6109" priority="37">
      <formula>$B20="HANGUP"</formula>
    </cfRule>
  </conditionalFormatting>
  <conditionalFormatting sqref="B8:B21">
    <cfRule type="containsText" dxfId="6108" priority="19" operator="containsText" text="Hear">
      <formula>NOT(ISERROR(SEARCH("Hear",B8)))</formula>
    </cfRule>
  </conditionalFormatting>
  <conditionalFormatting sqref="C9:C11 C13 C15">
    <cfRule type="expression" dxfId="6107" priority="20">
      <formula>$B9="Dial"</formula>
    </cfRule>
    <cfRule type="expression" dxfId="6106" priority="22">
      <formula>$B9="HANGUP"</formula>
    </cfRule>
  </conditionalFormatting>
  <conditionalFormatting sqref="C9:C11 C13 C15 C20:C21">
    <cfRule type="expression" dxfId="6105" priority="21">
      <formula>$B9="Speak"</formula>
    </cfRule>
  </conditionalFormatting>
  <conditionalFormatting sqref="C17">
    <cfRule type="expression" dxfId="6104" priority="17">
      <formula>$B17="Dial"</formula>
    </cfRule>
    <cfRule type="expression" dxfId="6103" priority="18">
      <formula>$B17="HANGUP"</formula>
    </cfRule>
  </conditionalFormatting>
  <conditionalFormatting sqref="C19">
    <cfRule type="expression" dxfId="6102" priority="15">
      <formula>$B19="Dial"</formula>
    </cfRule>
    <cfRule type="expression" dxfId="6101" priority="16">
      <formula>$B19="HANGUP"</formula>
    </cfRule>
  </conditionalFormatting>
  <conditionalFormatting sqref="C8">
    <cfRule type="expression" dxfId="6100" priority="13">
      <formula>$B8="Dial"</formula>
    </cfRule>
    <cfRule type="expression" dxfId="6099" priority="14">
      <formula>$B8="HANGUP"</formula>
    </cfRule>
  </conditionalFormatting>
  <conditionalFormatting sqref="C12">
    <cfRule type="expression" dxfId="6098" priority="10">
      <formula>$B12="Dial"</formula>
    </cfRule>
    <cfRule type="expression" dxfId="6097" priority="12">
      <formula>$B12="HANGUP"</formula>
    </cfRule>
  </conditionalFormatting>
  <conditionalFormatting sqref="C12">
    <cfRule type="expression" dxfId="6096" priority="11">
      <formula>$B12="Speak"</formula>
    </cfRule>
  </conditionalFormatting>
  <conditionalFormatting sqref="C14">
    <cfRule type="expression" dxfId="6095" priority="7">
      <formula>$B14="Dial"</formula>
    </cfRule>
    <cfRule type="expression" dxfId="6094" priority="9">
      <formula>$B14="HANGUP"</formula>
    </cfRule>
  </conditionalFormatting>
  <conditionalFormatting sqref="C14">
    <cfRule type="expression" dxfId="6093" priority="8">
      <formula>$B14="Speak"</formula>
    </cfRule>
  </conditionalFormatting>
  <conditionalFormatting sqref="C16">
    <cfRule type="expression" dxfId="6092" priority="4">
      <formula>$B16="Dial"</formula>
    </cfRule>
    <cfRule type="expression" dxfId="6091" priority="6">
      <formula>$B16="HANGUP"</formula>
    </cfRule>
  </conditionalFormatting>
  <conditionalFormatting sqref="C16">
    <cfRule type="expression" dxfId="6090" priority="5">
      <formula>$B16="Speak"</formula>
    </cfRule>
  </conditionalFormatting>
  <conditionalFormatting sqref="C18">
    <cfRule type="expression" dxfId="6089" priority="1">
      <formula>$B18="Dial"</formula>
    </cfRule>
    <cfRule type="expression" dxfId="6088" priority="3">
      <formula>$B18="HANGUP"</formula>
    </cfRule>
  </conditionalFormatting>
  <conditionalFormatting sqref="C18">
    <cfRule type="expression" dxfId="6087" priority="2">
      <formula>$B18="Speak"</formula>
    </cfRule>
  </conditionalFormatting>
  <hyperlinks>
    <hyperlink ref="A1" location="'Test Case Overview'!A1" display="Return to Test Case Overview" xr:uid="{00000000-0004-0000-1500-000000000000}"/>
  </hyperlink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25" operator="containsText" text="WEB SERVICE" id="{E21340F9-1596-4A89-86D8-63CA7112A7E1}">
            <xm:f>NOT(ISERROR(SEARCH("WEB SERVICE",'TC1'!E10)))</xm:f>
            <x14:dxf>
              <font>
                <color rgb="FF9C0006"/>
              </font>
              <fill>
                <patternFill>
                  <bgColor rgb="FFFFC7CE"/>
                </patternFill>
              </fill>
            </x14:dxf>
          </x14:cfRule>
          <x14:cfRule type="containsText" priority="26" operator="containsText" text="DB" id="{FAC36E6B-5594-45CC-9C3F-5C6CD7AA9BB8}">
            <xm:f>NOT(ISERROR(SEARCH("DB",'TC1'!E10)))</xm:f>
            <x14:dxf>
              <font>
                <color rgb="FF006100"/>
              </font>
              <fill>
                <patternFill>
                  <bgColor rgb="FFC6EFCE"/>
                </patternFill>
              </fill>
            </x14:dxf>
          </x14:cfRule>
          <xm:sqref>E9:E12</xm:sqref>
        </x14:conditionalFormatting>
        <x14:conditionalFormatting xmlns:xm="http://schemas.microsoft.com/office/excel/2006/main">
          <x14:cfRule type="containsText" priority="795" operator="containsText" text="WEB SERVICE" id="{E21340F9-1596-4A89-86D8-63CA7112A7E1}">
            <xm:f>NOT(ISERROR(SEARCH("WEB SERVICE",'TC1'!#REF!)))</xm:f>
            <x14:dxf>
              <font>
                <color rgb="FF9C0006"/>
              </font>
              <fill>
                <patternFill>
                  <bgColor rgb="FFFFC7CE"/>
                </patternFill>
              </fill>
            </x14:dxf>
          </x14:cfRule>
          <x14:cfRule type="containsText" priority="796" operator="containsText" text="DB" id="{FAC36E6B-5594-45CC-9C3F-5C6CD7AA9BB8}">
            <xm:f>NOT(ISERROR(SEARCH("DB",'TC1'!#REF!)))</xm:f>
            <x14:dxf>
              <font>
                <color rgb="FF006100"/>
              </font>
              <fill>
                <patternFill>
                  <bgColor rgb="FFC6EFCE"/>
                </patternFill>
              </fill>
            </x14:dxf>
          </x14:cfRule>
          <xm:sqref>E13:E20</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dimension ref="A1:E35"/>
  <sheetViews>
    <sheetView zoomScaleNormal="100" workbookViewId="0">
      <selection activeCell="D9" sqref="D9:D13"/>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TC22</v>
      </c>
    </row>
    <row r="3" spans="1:5">
      <c r="A3" s="100" t="s">
        <v>19</v>
      </c>
      <c r="B3" s="108">
        <f ca="1">VLOOKUP(B2,Table1[#All],2,FALSE)</f>
        <v>0</v>
      </c>
    </row>
    <row r="4" spans="1:5" ht="45">
      <c r="A4" s="109" t="s">
        <v>20</v>
      </c>
      <c r="B4" s="95" t="str">
        <f ca="1">VLOOKUP(B2,Table1[#All],4,FALSE)</f>
        <v>SvcArea =Collections, OFS05 returns else (not success) this may be Call Start - not sure which to get 0FS05 to return "else"</v>
      </c>
    </row>
    <row r="5" spans="1:5">
      <c r="A5" s="100" t="s">
        <v>6</v>
      </c>
      <c r="B5" s="89" t="str">
        <f ca="1">VLOOKUP(B2,Table1[#All],3,FALSE)</f>
        <v>Coll Inbd/ /ID Auth/ID Auth True, Xfer</v>
      </c>
    </row>
    <row r="7" spans="1:5" ht="15.75">
      <c r="A7" s="96" t="s">
        <v>7</v>
      </c>
      <c r="B7" s="97" t="s">
        <v>8</v>
      </c>
      <c r="C7" s="98" t="s">
        <v>9</v>
      </c>
      <c r="D7" s="98" t="s">
        <v>14</v>
      </c>
      <c r="E7" s="99" t="s">
        <v>10</v>
      </c>
    </row>
    <row r="8" spans="1:5">
      <c r="A8" s="114">
        <v>1</v>
      </c>
      <c r="B8" s="110" t="s">
        <v>114</v>
      </c>
      <c r="C8" s="124" t="s">
        <v>475</v>
      </c>
      <c r="D8" s="125"/>
      <c r="E8" s="122" t="s">
        <v>11</v>
      </c>
    </row>
    <row r="9" spans="1:5">
      <c r="A9" s="114">
        <v>2</v>
      </c>
      <c r="B9" s="110" t="s">
        <v>115</v>
      </c>
      <c r="C9" s="105" t="str">
        <f>VLOOKUP(Table2575525269101343444647484956[[#This Row],[PEG]],Table1016[#All],2,FALSE)</f>
        <v>CallID.wav Call ID &lt;CallID&gt;</v>
      </c>
      <c r="D9" s="145" t="s">
        <v>477</v>
      </c>
      <c r="E9" s="122" t="str">
        <f>VLOOKUP(Table2575525269101343444647484956[[#This Row],[PEG]],Table1016[#All],3,FALSE)</f>
        <v>TEST</v>
      </c>
    </row>
    <row r="10" spans="1:5">
      <c r="A10" s="114">
        <v>3</v>
      </c>
      <c r="B10" s="110" t="s">
        <v>115</v>
      </c>
      <c r="C10" s="105" t="str">
        <f>VLOOKUP(Table2575525269101343444647484956[[#This Row],[PEG]],Table1016[#All],2,FALSE)</f>
        <v>0130.wav Thank you for calling &lt;brand&gt;... [To continue in Spanish, press 9]</v>
      </c>
      <c r="D10" s="145">
        <v>130</v>
      </c>
      <c r="E10" s="122" t="str">
        <f>VLOOKUP(Table2575525269101343444647484956[[#This Row],[PEG]],Table1016[#All],3,FALSE)</f>
        <v>PLAY PROMPT</v>
      </c>
    </row>
    <row r="11" spans="1:5">
      <c r="A11" s="114">
        <v>4</v>
      </c>
      <c r="B11" s="110" t="s">
        <v>115</v>
      </c>
      <c r="C11" s="105" t="str">
        <f>VLOOKUP(Table2575525269101343444647484956[[#This Row],[PEG]],Table1016[#All],2,FALSE)</f>
        <v>0200-1.wav To get started, what is your account number?</v>
      </c>
      <c r="D11" s="145">
        <v>200</v>
      </c>
      <c r="E11" s="122" t="str">
        <f>VLOOKUP(Table2575525269101343444647484956[[#This Row],[PEG]],Table1016[#All],3,FALSE)</f>
        <v>MENU PROMPT</v>
      </c>
    </row>
    <row r="12" spans="1:5">
      <c r="A12" s="114">
        <v>5</v>
      </c>
      <c r="B12" s="110" t="s">
        <v>114</v>
      </c>
      <c r="C12" s="105" t="s">
        <v>515</v>
      </c>
      <c r="D12" s="145"/>
      <c r="E12" s="122" t="e">
        <f>VLOOKUP(Table2575525269101343444647484956[[#This Row],[PEG]],Table1016[#All],3,FALSE)</f>
        <v>#N/A</v>
      </c>
    </row>
    <row r="13" spans="1:5">
      <c r="A13" s="114">
        <v>6</v>
      </c>
      <c r="B13" s="110" t="s">
        <v>115</v>
      </c>
      <c r="C13" s="105" t="str">
        <f>VLOOKUP(Table2575525269101343444647484956[[#This Row],[PEG]],Table1016[#All],2,FALSE)</f>
        <v>0210-1.wav And the date of birth for the primary owner?</v>
      </c>
      <c r="D13" s="145">
        <v>210</v>
      </c>
      <c r="E13" s="122" t="str">
        <f>VLOOKUP(Table2575525269101343444647484956[[#This Row],[PEG]],Table1016[#All],3,FALSE)</f>
        <v>MENU PROMPT</v>
      </c>
    </row>
    <row r="14" spans="1:5">
      <c r="A14" s="114">
        <v>7</v>
      </c>
      <c r="B14" s="110" t="s">
        <v>124</v>
      </c>
      <c r="C14" s="105" t="s">
        <v>570</v>
      </c>
      <c r="D14" s="125"/>
      <c r="E14" s="122" t="e">
        <f>VLOOKUP(Table2575525269101343444647484956[[#This Row],[PEG]],Table1016[#All],3,FALSE)</f>
        <v>#N/A</v>
      </c>
    </row>
    <row r="15" spans="1:5">
      <c r="A15" s="114">
        <v>8</v>
      </c>
      <c r="B15" s="110" t="s">
        <v>115</v>
      </c>
      <c r="C15" s="105" t="str">
        <f>VLOOKUP(Table2575525269101343444647484956[[#This Row],[PEG]],Table1016[#All],2,FALSE)</f>
        <v>0900.wav Please hold, while I connect you to a customer service representative.</v>
      </c>
      <c r="D15" s="112">
        <v>900</v>
      </c>
      <c r="E15" s="122" t="str">
        <f>VLOOKUP(Table2575525269101343444647484956[[#This Row],[PEG]],Table1016[#All],3,FALSE)</f>
        <v>PLAY PROMPT</v>
      </c>
    </row>
    <row r="16" spans="1:5">
      <c r="A16" s="114">
        <v>9</v>
      </c>
      <c r="B16" s="110" t="s">
        <v>115</v>
      </c>
      <c r="C16" s="105" t="str">
        <f>VLOOKUP(Table2575525269101343444647484956[[#This Row],[PEG]],Table1016[#All],2,FALSE)</f>
        <v>XferNbr.wav Transfer Number &lt;TransferNbr&gt;</v>
      </c>
      <c r="D16" s="112" t="s">
        <v>480</v>
      </c>
      <c r="E16" s="122" t="str">
        <f>VLOOKUP(Table2575525269101343444647484956[[#This Row],[PEG]],Table1016[#All],3,FALSE)</f>
        <v>TEST</v>
      </c>
    </row>
    <row r="17" spans="1:5">
      <c r="A17" s="114">
        <v>10</v>
      </c>
      <c r="B17" s="110" t="s">
        <v>13</v>
      </c>
      <c r="C17" s="105" t="s">
        <v>13</v>
      </c>
      <c r="D17" s="111"/>
      <c r="E17" s="31"/>
    </row>
    <row r="18" spans="1:5">
      <c r="C18" s="25"/>
      <c r="D18" s="107" t="s">
        <v>0</v>
      </c>
    </row>
    <row r="19" spans="1:5">
      <c r="C19" s="25"/>
    </row>
    <row r="20" spans="1:5">
      <c r="C20" s="25"/>
    </row>
    <row r="21" spans="1:5">
      <c r="C21" s="25"/>
    </row>
    <row r="22" spans="1:5">
      <c r="C22" s="25"/>
    </row>
    <row r="23" spans="1:5">
      <c r="C23" s="25"/>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6"/>
    </row>
    <row r="34" spans="3:3">
      <c r="C34" s="26"/>
    </row>
    <row r="35" spans="3:3">
      <c r="C35" s="26"/>
    </row>
  </sheetData>
  <mergeCells count="1">
    <mergeCell ref="A1:B1"/>
  </mergeCells>
  <conditionalFormatting sqref="E17">
    <cfRule type="containsText" dxfId="6073" priority="27" operator="containsText" text="WEB SERVICE">
      <formula>NOT(ISERROR(SEARCH("WEB SERVICE",E17)))</formula>
    </cfRule>
    <cfRule type="containsText" dxfId="6072" priority="28" operator="containsText" text="DB">
      <formula>NOT(ISERROR(SEARCH("DB",E17)))</formula>
    </cfRule>
  </conditionalFormatting>
  <conditionalFormatting sqref="C17:C9974">
    <cfRule type="expression" dxfId="6071" priority="30">
      <formula>$B17="Dial"</formula>
    </cfRule>
    <cfRule type="expression" dxfId="6070" priority="32">
      <formula>$B17="HANGUP"</formula>
    </cfRule>
  </conditionalFormatting>
  <conditionalFormatting sqref="B8 B15:B17">
    <cfRule type="containsText" dxfId="6069" priority="14" operator="containsText" text="Hear">
      <formula>NOT(ISERROR(SEARCH("Hear",B8)))</formula>
    </cfRule>
  </conditionalFormatting>
  <conditionalFormatting sqref="C9:C11 C13 C15:C16">
    <cfRule type="expression" dxfId="6068" priority="15">
      <formula>$B9="Dial"</formula>
    </cfRule>
    <cfRule type="expression" dxfId="6067" priority="17">
      <formula>$B9="HANGUP"</formula>
    </cfRule>
  </conditionalFormatting>
  <conditionalFormatting sqref="C9:C11 C13 C15:C17">
    <cfRule type="expression" dxfId="6066" priority="16">
      <formula>$B9="Speak"</formula>
    </cfRule>
  </conditionalFormatting>
  <conditionalFormatting sqref="C8">
    <cfRule type="expression" dxfId="6065" priority="8">
      <formula>$B8="Dial"</formula>
    </cfRule>
    <cfRule type="expression" dxfId="6064" priority="9">
      <formula>$B8="HANGUP"</formula>
    </cfRule>
  </conditionalFormatting>
  <conditionalFormatting sqref="B9:B14">
    <cfRule type="containsText" dxfId="6063" priority="7" operator="containsText" text="Hear">
      <formula>NOT(ISERROR(SEARCH("Hear",B9)))</formula>
    </cfRule>
  </conditionalFormatting>
  <conditionalFormatting sqref="C12">
    <cfRule type="expression" dxfId="6062" priority="4">
      <formula>$B12="Dial"</formula>
    </cfRule>
    <cfRule type="expression" dxfId="6061" priority="6">
      <formula>$B12="HANGUP"</formula>
    </cfRule>
  </conditionalFormatting>
  <conditionalFormatting sqref="C12">
    <cfRule type="expression" dxfId="6060" priority="5">
      <formula>$B12="Speak"</formula>
    </cfRule>
  </conditionalFormatting>
  <conditionalFormatting sqref="C14">
    <cfRule type="expression" dxfId="6059" priority="1">
      <formula>$B14="Dial"</formula>
    </cfRule>
    <cfRule type="expression" dxfId="6058" priority="3">
      <formula>$B14="HANGUP"</formula>
    </cfRule>
  </conditionalFormatting>
  <conditionalFormatting sqref="C14">
    <cfRule type="expression" dxfId="6057" priority="2">
      <formula>$B14="Speak"</formula>
    </cfRule>
  </conditionalFormatting>
  <hyperlinks>
    <hyperlink ref="A1" location="'Test Case Overview'!A1" display="Return to Test Case Overview" xr:uid="{00000000-0004-0000-16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36" operator="containsText" text="WEB SERVICE" id="{A85F00F4-5F95-4995-97ED-E6E0DB595B09}">
            <xm:f>NOT(ISERROR(SEARCH("WEB SERVICE",'TC1'!E10)))</xm:f>
            <x14:dxf>
              <font>
                <color rgb="FF9C0006"/>
              </font>
              <fill>
                <patternFill>
                  <bgColor rgb="FFFFC7CE"/>
                </patternFill>
              </fill>
            </x14:dxf>
          </x14:cfRule>
          <x14:cfRule type="containsText" priority="36" operator="containsText" text="DB" id="{397A2AE7-3348-41CB-9E40-E296F5F8B4F1}">
            <xm:f>NOT(ISERROR(SEARCH("DB",'TC1'!E10)))</xm:f>
            <x14:dxf>
              <font>
                <color rgb="FF006100"/>
              </font>
              <fill>
                <patternFill>
                  <bgColor rgb="FFC6EFCE"/>
                </patternFill>
              </fill>
            </x14:dxf>
          </x14:cfRule>
          <xm:sqref>E9:E12</xm:sqref>
        </x14:conditionalFormatting>
        <x14:conditionalFormatting xmlns:xm="http://schemas.microsoft.com/office/excel/2006/main">
          <x14:cfRule type="containsText" priority="796" operator="containsText" text="WEB SERVICE" id="{A85F00F4-5F95-4995-97ED-E6E0DB595B09}">
            <xm:f>NOT(ISERROR(SEARCH("WEB SERVICE",'TC1'!#REF!)))</xm:f>
            <x14:dxf>
              <font>
                <color rgb="FF9C0006"/>
              </font>
              <fill>
                <patternFill>
                  <bgColor rgb="FFFFC7CE"/>
                </patternFill>
              </fill>
            </x14:dxf>
          </x14:cfRule>
          <x14:cfRule type="containsText" priority="797" operator="containsText" text="DB" id="{397A2AE7-3348-41CB-9E40-E296F5F8B4F1}">
            <xm:f>NOT(ISERROR(SEARCH("DB",'TC1'!#REF!)))</xm:f>
            <x14:dxf>
              <font>
                <color rgb="FF006100"/>
              </font>
              <fill>
                <patternFill>
                  <bgColor rgb="FFC6EFCE"/>
                </patternFill>
              </fill>
            </x14:dxf>
          </x14:cfRule>
          <xm:sqref>E13:E16</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dimension ref="A1:E39"/>
  <sheetViews>
    <sheetView zoomScaleNormal="100" workbookViewId="0">
      <selection activeCell="C27" sqref="C27"/>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TC23</v>
      </c>
    </row>
    <row r="3" spans="1:5">
      <c r="A3" s="100" t="s">
        <v>19</v>
      </c>
      <c r="B3" s="108">
        <f ca="1">VLOOKUP(B2,Table1[#All],2,FALSE)</f>
        <v>0</v>
      </c>
    </row>
    <row r="4" spans="1:5" ht="30">
      <c r="A4" s="109" t="s">
        <v>20</v>
      </c>
      <c r="B4" s="95" t="str">
        <f ca="1">VLOOKUP(B2,Table1[#All],4,FALSE)</f>
        <v>FE Code=Bankruptcy</v>
      </c>
    </row>
    <row r="5" spans="1:5" ht="45">
      <c r="A5" s="100" t="s">
        <v>6</v>
      </c>
      <c r="B5" s="89" t="str">
        <f ca="1">VLOOKUP(B2,Table1[#All],3,FALSE)</f>
        <v>CallStart Main Menu/Payments/Make Pmt /ID Auth/ID Auth True, Finance exception code=Bankruptcy/Xfer</v>
      </c>
    </row>
    <row r="7" spans="1:5" ht="15.75">
      <c r="A7" s="96" t="s">
        <v>7</v>
      </c>
      <c r="B7" s="97" t="s">
        <v>8</v>
      </c>
      <c r="C7" s="98" t="s">
        <v>9</v>
      </c>
      <c r="D7" s="98" t="s">
        <v>14</v>
      </c>
      <c r="E7" s="99" t="s">
        <v>10</v>
      </c>
    </row>
    <row r="8" spans="1:5">
      <c r="A8" s="114">
        <v>1</v>
      </c>
      <c r="B8" s="110" t="s">
        <v>114</v>
      </c>
      <c r="C8" s="124" t="s">
        <v>125</v>
      </c>
      <c r="D8" s="125"/>
      <c r="E8" s="122" t="s">
        <v>11</v>
      </c>
    </row>
    <row r="9" spans="1:5" s="93" customFormat="1">
      <c r="A9" s="114">
        <v>2</v>
      </c>
      <c r="B9" s="110" t="s">
        <v>115</v>
      </c>
      <c r="C9" s="105" t="str">
        <f>VLOOKUP(Table257552526910134344464748495657[[#This Row],[PEG]],Table1016[#All],2,FALSE)</f>
        <v>CallID.wav Call ID &lt;CallID&gt;</v>
      </c>
      <c r="D9" s="145" t="s">
        <v>482</v>
      </c>
      <c r="E9" s="122"/>
    </row>
    <row r="10" spans="1:5" ht="30">
      <c r="A10" s="114">
        <v>3</v>
      </c>
      <c r="B10" s="110" t="s">
        <v>115</v>
      </c>
      <c r="C10" s="105" t="str">
        <f>VLOOKUP(Table257552526910134344464748495657[[#This Row],[PEG]],Table1016[#All],2,FALSE)</f>
        <v>0100.wav Thank you for calling Shell vacations Club, we are glad you called. Please have your account number available for faster service. [To continue in Spanish, press 9]</v>
      </c>
      <c r="D10" s="145">
        <v>100</v>
      </c>
      <c r="E10" s="122" t="str">
        <f>VLOOKUP(Table257552526910134344464748495657[[#This Row],[PEG]],Table1016[#All],3,FALSE)</f>
        <v>PLAY PROMPT</v>
      </c>
    </row>
    <row r="11" spans="1:5" ht="30">
      <c r="A11" s="114">
        <v>4</v>
      </c>
      <c r="B11" s="110" t="s">
        <v>115</v>
      </c>
      <c r="C11" s="105" t="str">
        <f>VLOOKUP(Table257552526910134344464748495657[[#This Row],[PEG]],Table1016[#All],2,FALSE)</f>
        <v>0110-1.wav Which would you like? You can say... reservations, payments &amp; statements, title &amp; ownership changes, or more options.</v>
      </c>
      <c r="D11" s="145">
        <v>110</v>
      </c>
      <c r="E11" s="122" t="str">
        <f>VLOOKUP(Table257552526910134344464748495657[[#This Row],[PEG]],Table1016[#All],3,FALSE)</f>
        <v>MENU PROMPT</v>
      </c>
    </row>
    <row r="12" spans="1:5">
      <c r="A12" s="114">
        <v>5</v>
      </c>
      <c r="B12" s="110" t="s">
        <v>124</v>
      </c>
      <c r="C12" s="105" t="s">
        <v>571</v>
      </c>
      <c r="D12" s="145"/>
      <c r="E12" s="122" t="e">
        <f>VLOOKUP(Table257552526910134344464748495657[[#This Row],[PEG]],Table1016[#All],3,FALSE)</f>
        <v>#N/A</v>
      </c>
    </row>
    <row r="13" spans="1:5" ht="30">
      <c r="A13" s="114">
        <v>6</v>
      </c>
      <c r="B13" s="110" t="s">
        <v>115</v>
      </c>
      <c r="C13" s="105" t="str">
        <f>VLOOKUP(Table257552526910134344464748495657[[#This Row],[PEG]],Table1016[#All],2,FALSE)</f>
        <v>400.wav You can say make a payment, check account status, request a document, or more options. Which would you like?</v>
      </c>
      <c r="D13" s="145">
        <v>400</v>
      </c>
      <c r="E13" s="122" t="str">
        <f>VLOOKUP(Table257552526910134344464748495657[[#This Row],[PEG]],Table1016[#All],3,FALSE)</f>
        <v>MENU PROMPT</v>
      </c>
    </row>
    <row r="14" spans="1:5">
      <c r="A14" s="114">
        <v>7</v>
      </c>
      <c r="B14" s="110" t="s">
        <v>124</v>
      </c>
      <c r="C14" s="105" t="s">
        <v>573</v>
      </c>
      <c r="D14" s="145"/>
      <c r="E14" s="122" t="e">
        <f>VLOOKUP(Table257552526910134344464748495657[[#This Row],[PEG]],Table1016[#All],3,FALSE)</f>
        <v>#N/A</v>
      </c>
    </row>
    <row r="15" spans="1:5">
      <c r="A15" s="114">
        <v>8</v>
      </c>
      <c r="B15" s="110" t="s">
        <v>115</v>
      </c>
      <c r="C15" s="105" t="str">
        <f>VLOOKUP(Table257552526910134344464748495657[[#This Row],[PEG]],Table1016[#All],2,FALSE)</f>
        <v>0200-1.wav To get started, what is your account number?</v>
      </c>
      <c r="D15" s="145">
        <v>200</v>
      </c>
      <c r="E15" s="122" t="str">
        <f>VLOOKUP(Table257552526910134344464748495657[[#This Row],[PEG]],Table1016[#All],3,FALSE)</f>
        <v>MENU PROMPT</v>
      </c>
    </row>
    <row r="16" spans="1:5">
      <c r="A16" s="114">
        <v>9</v>
      </c>
      <c r="B16" s="110" t="s">
        <v>114</v>
      </c>
      <c r="C16" s="105" t="s">
        <v>515</v>
      </c>
      <c r="D16" s="112"/>
      <c r="E16" s="122" t="e">
        <f>VLOOKUP(Table257552526910134344464748495657[[#This Row],[PEG]],Table1016[#All],3,FALSE)</f>
        <v>#N/A</v>
      </c>
    </row>
    <row r="17" spans="1:5">
      <c r="A17" s="114">
        <v>10</v>
      </c>
      <c r="B17" s="110" t="s">
        <v>115</v>
      </c>
      <c r="C17" s="105" t="str">
        <f>VLOOKUP(Table257552526910134344464748495657[[#This Row],[PEG]],Table1016[#All],2,FALSE)</f>
        <v>0210-1.wav And the date of birth for the primary owner?</v>
      </c>
      <c r="D17" s="112">
        <v>210</v>
      </c>
      <c r="E17" s="122" t="str">
        <f>VLOOKUP(Table257552526910134344464748495657[[#This Row],[PEG]],Table1016[#All],3,FALSE)</f>
        <v>MENU PROMPT</v>
      </c>
    </row>
    <row r="18" spans="1:5">
      <c r="A18" s="114">
        <v>11</v>
      </c>
      <c r="B18" s="110" t="s">
        <v>124</v>
      </c>
      <c r="C18" s="151" t="s">
        <v>524</v>
      </c>
      <c r="D18" s="113"/>
      <c r="E18" s="122" t="e">
        <f>VLOOKUP(Table257552526910134344464748495657[[#This Row],[PEG]],Table1016[#All],3,FALSE)</f>
        <v>#N/A</v>
      </c>
    </row>
    <row r="19" spans="1:5">
      <c r="A19" s="114">
        <v>12</v>
      </c>
      <c r="B19" s="110" t="s">
        <v>115</v>
      </c>
      <c r="C19" s="105" t="str">
        <f>VLOOKUP(Table257552526910134344464748495657[[#This Row],[PEG]],Table1016[#All],2,FALSE)</f>
        <v>0900.wav Please hold, while I connect you to a customer service representative.</v>
      </c>
      <c r="D19" s="113">
        <v>900</v>
      </c>
      <c r="E19" s="122" t="str">
        <f>VLOOKUP(Table257552526910134344464748495657[[#This Row],[PEG]],Table1016[#All],3,FALSE)</f>
        <v>PLAY PROMPT</v>
      </c>
    </row>
    <row r="20" spans="1:5">
      <c r="A20" s="114">
        <v>13</v>
      </c>
      <c r="B20" s="110" t="s">
        <v>115</v>
      </c>
      <c r="C20" s="124" t="str">
        <f>VLOOKUP(Table257552526910134344464748495657[[#This Row],[PEG]],Table1016[#All],2,FALSE)</f>
        <v>XferNbr.wav Transfer Number &lt;TransferNbr&gt;</v>
      </c>
      <c r="D20" s="113" t="s">
        <v>480</v>
      </c>
      <c r="E20" s="122" t="str">
        <f>VLOOKUP(Table257552526910134344464748495657[[#This Row],[PEG]],Table1016[#All],3,FALSE)</f>
        <v>TEST</v>
      </c>
    </row>
    <row r="21" spans="1:5">
      <c r="A21" s="114">
        <v>14</v>
      </c>
      <c r="B21" s="110" t="s">
        <v>13</v>
      </c>
      <c r="C21" s="105" t="s">
        <v>13</v>
      </c>
      <c r="D21" s="111"/>
      <c r="E21" s="31"/>
    </row>
    <row r="22" spans="1:5">
      <c r="C22" s="25"/>
      <c r="D22" s="107" t="s">
        <v>0</v>
      </c>
    </row>
    <row r="23" spans="1:5">
      <c r="C23" s="25"/>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6"/>
    </row>
    <row r="38" spans="3:3">
      <c r="C38" s="26"/>
    </row>
    <row r="39" spans="3:3">
      <c r="C39" s="26"/>
    </row>
  </sheetData>
  <mergeCells count="1">
    <mergeCell ref="A1:B1"/>
  </mergeCells>
  <conditionalFormatting sqref="E21">
    <cfRule type="containsText" dxfId="6043" priority="42" operator="containsText" text="WEB SERVICE">
      <formula>NOT(ISERROR(SEARCH("WEB SERVICE",E21)))</formula>
    </cfRule>
    <cfRule type="containsText" dxfId="6042" priority="43" operator="containsText" text="DB">
      <formula>NOT(ISERROR(SEARCH("DB",E21)))</formula>
    </cfRule>
  </conditionalFormatting>
  <conditionalFormatting sqref="C21:C9978">
    <cfRule type="expression" dxfId="6041" priority="45">
      <formula>$B21="Dial"</formula>
    </cfRule>
    <cfRule type="expression" dxfId="6040" priority="47">
      <formula>$B21="HANGUP"</formula>
    </cfRule>
  </conditionalFormatting>
  <conditionalFormatting sqref="B8:B21">
    <cfRule type="containsText" dxfId="6039" priority="11" operator="containsText" text="Hear">
      <formula>NOT(ISERROR(SEARCH("Hear",B8)))</formula>
    </cfRule>
  </conditionalFormatting>
  <conditionalFormatting sqref="C19 C10:C15 C17">
    <cfRule type="expression" dxfId="6038" priority="12">
      <formula>$B10="Dial"</formula>
    </cfRule>
    <cfRule type="expression" dxfId="6037" priority="14">
      <formula>$B10="HANGUP"</formula>
    </cfRule>
  </conditionalFormatting>
  <conditionalFormatting sqref="C19 C10:C15 C17 C21">
    <cfRule type="expression" dxfId="6036" priority="13">
      <formula>$B10="Speak"</formula>
    </cfRule>
  </conditionalFormatting>
  <conditionalFormatting sqref="C18">
    <cfRule type="expression" dxfId="6035" priority="9">
      <formula>$B18="Dial"</formula>
    </cfRule>
    <cfRule type="expression" dxfId="6034" priority="10">
      <formula>$B18="HANGUP"</formula>
    </cfRule>
  </conditionalFormatting>
  <conditionalFormatting sqref="C8 C20">
    <cfRule type="expression" dxfId="6033" priority="7">
      <formula>$B8="Dial"</formula>
    </cfRule>
    <cfRule type="expression" dxfId="6032" priority="8">
      <formula>$B8="HANGUP"</formula>
    </cfRule>
  </conditionalFormatting>
  <conditionalFormatting sqref="C16">
    <cfRule type="expression" dxfId="6031" priority="4">
      <formula>$B16="Dial"</formula>
    </cfRule>
    <cfRule type="expression" dxfId="6030" priority="6">
      <formula>$B16="HANGUP"</formula>
    </cfRule>
  </conditionalFormatting>
  <conditionalFormatting sqref="C16">
    <cfRule type="expression" dxfId="6029" priority="5">
      <formula>$B16="Speak"</formula>
    </cfRule>
  </conditionalFormatting>
  <conditionalFormatting sqref="C9">
    <cfRule type="expression" dxfId="6028" priority="1">
      <formula>$B9="Dial"</formula>
    </cfRule>
    <cfRule type="expression" dxfId="6027" priority="3">
      <formula>$B9="HANGUP"</formula>
    </cfRule>
  </conditionalFormatting>
  <conditionalFormatting sqref="C9">
    <cfRule type="expression" dxfId="6026" priority="2">
      <formula>$B9="Speak"</formula>
    </cfRule>
  </conditionalFormatting>
  <hyperlinks>
    <hyperlink ref="A1" location="'Test Case Overview'!A1" display="Return to Test Case Overview" xr:uid="{00000000-0004-0000-1700-000000000000}"/>
  </hyperlink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35" operator="containsText" text="WEB SERVICE" id="{D2F87869-A5B1-42E9-B1CF-93475DDD08E5}">
            <xm:f>NOT(ISERROR(SEARCH("WEB SERVICE",'TC1'!E10)))</xm:f>
            <x14:dxf>
              <font>
                <color rgb="FF9C0006"/>
              </font>
              <fill>
                <patternFill>
                  <bgColor rgb="FFFFC7CE"/>
                </patternFill>
              </fill>
            </x14:dxf>
          </x14:cfRule>
          <x14:cfRule type="containsText" priority="36" operator="containsText" text="DB" id="{D004E50E-44FC-4D49-8A16-ED7DFF60F622}">
            <xm:f>NOT(ISERROR(SEARCH("DB",'TC1'!E10)))</xm:f>
            <x14:dxf>
              <font>
                <color rgb="FF006100"/>
              </font>
              <fill>
                <patternFill>
                  <bgColor rgb="FFC6EFCE"/>
                </patternFill>
              </fill>
            </x14:dxf>
          </x14:cfRule>
          <xm:sqref>E10:E13</xm:sqref>
        </x14:conditionalFormatting>
        <x14:conditionalFormatting xmlns:xm="http://schemas.microsoft.com/office/excel/2006/main">
          <x14:cfRule type="containsText" priority="799" operator="containsText" text="WEB SERVICE" id="{D2F87869-A5B1-42E9-B1CF-93475DDD08E5}">
            <xm:f>NOT(ISERROR(SEARCH("WEB SERVICE",'TC1'!#REF!)))</xm:f>
            <x14:dxf>
              <font>
                <color rgb="FF9C0006"/>
              </font>
              <fill>
                <patternFill>
                  <bgColor rgb="FFFFC7CE"/>
                </patternFill>
              </fill>
            </x14:dxf>
          </x14:cfRule>
          <x14:cfRule type="containsText" priority="800" operator="containsText" text="DB" id="{D004E50E-44FC-4D49-8A16-ED7DFF60F622}">
            <xm:f>NOT(ISERROR(SEARCH("DB",'TC1'!#REF!)))</xm:f>
            <x14:dxf>
              <font>
                <color rgb="FF006100"/>
              </font>
              <fill>
                <patternFill>
                  <bgColor rgb="FFC6EFCE"/>
                </patternFill>
              </fill>
            </x14:dxf>
          </x14:cfRule>
          <xm:sqref>E14:E20</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dimension ref="A1:E39"/>
  <sheetViews>
    <sheetView zoomScaleNormal="100" workbookViewId="0">
      <selection activeCell="C28" sqref="C28"/>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TC24</v>
      </c>
    </row>
    <row r="3" spans="1:5">
      <c r="A3" s="100" t="s">
        <v>19</v>
      </c>
      <c r="B3" s="108">
        <f ca="1">VLOOKUP(B2,Table1[#All],2,FALSE)</f>
        <v>0</v>
      </c>
    </row>
    <row r="4" spans="1:5" ht="30">
      <c r="A4" s="109" t="s">
        <v>20</v>
      </c>
      <c r="B4" s="95" t="str">
        <f ca="1">VLOOKUP(B2,Table1[#All],4,FALSE)</f>
        <v>FE Code=Settlements</v>
      </c>
    </row>
    <row r="5" spans="1:5" ht="45">
      <c r="A5" s="100" t="s">
        <v>6</v>
      </c>
      <c r="B5" s="89" t="str">
        <f ca="1">VLOOKUP(B2,Table1[#All],3,FALSE)</f>
        <v>CallStart Main Menu/Payments/Make Pmt /ID Auth/ID Auth True, Finance exception code=Settlements/Xfer</v>
      </c>
    </row>
    <row r="7" spans="1:5" ht="15.75">
      <c r="A7" s="96" t="s">
        <v>7</v>
      </c>
      <c r="B7" s="97" t="s">
        <v>8</v>
      </c>
      <c r="C7" s="98" t="s">
        <v>9</v>
      </c>
      <c r="D7" s="98" t="s">
        <v>14</v>
      </c>
      <c r="E7" s="99" t="s">
        <v>10</v>
      </c>
    </row>
    <row r="8" spans="1:5">
      <c r="A8" s="114">
        <v>1</v>
      </c>
      <c r="B8" s="110" t="s">
        <v>114</v>
      </c>
      <c r="C8" s="124" t="s">
        <v>125</v>
      </c>
      <c r="D8" s="125"/>
      <c r="E8" s="122" t="s">
        <v>11</v>
      </c>
    </row>
    <row r="9" spans="1:5" s="93" customFormat="1">
      <c r="A9" s="114">
        <v>2</v>
      </c>
      <c r="B9" s="110" t="s">
        <v>115</v>
      </c>
      <c r="C9" s="105" t="str">
        <f>VLOOKUP(Table25755252691013434446474849565758[[#This Row],[PEG]],Table1016[#All],2,FALSE)</f>
        <v>CallID.wav Call ID &lt;CallID&gt;</v>
      </c>
      <c r="D9" s="145" t="s">
        <v>477</v>
      </c>
      <c r="E9" s="122"/>
    </row>
    <row r="10" spans="1:5" ht="30">
      <c r="A10" s="114">
        <v>3</v>
      </c>
      <c r="B10" s="110" t="s">
        <v>115</v>
      </c>
      <c r="C10" s="105" t="str">
        <f>VLOOKUP(Table25755252691013434446474849565758[[#This Row],[PEG]],Table1016[#All],2,FALSE)</f>
        <v>0100.wav Thank you for calling Shell vacations Club, we are glad you called. Please have your account number available for faster service. [To continue in Spanish, press 9]</v>
      </c>
      <c r="D10" s="145">
        <v>100</v>
      </c>
      <c r="E10" s="122" t="str">
        <f>VLOOKUP(Table25755252691013434446474849565758[[#This Row],[PEG]],Table1016[#All],3,FALSE)</f>
        <v>PLAY PROMPT</v>
      </c>
    </row>
    <row r="11" spans="1:5" ht="30">
      <c r="A11" s="114">
        <v>4</v>
      </c>
      <c r="B11" s="110" t="s">
        <v>115</v>
      </c>
      <c r="C11" s="105" t="str">
        <f>VLOOKUP(Table25755252691013434446474849565758[[#This Row],[PEG]],Table1016[#All],2,FALSE)</f>
        <v>0110-1.wav Which would you like? You can say... reservations, payments &amp; statements, title &amp; ownership changes, or more options.</v>
      </c>
      <c r="D11" s="145">
        <v>110</v>
      </c>
      <c r="E11" s="122" t="str">
        <f>VLOOKUP(Table25755252691013434446474849565758[[#This Row],[PEG]],Table1016[#All],3,FALSE)</f>
        <v>MENU PROMPT</v>
      </c>
    </row>
    <row r="12" spans="1:5">
      <c r="A12" s="114">
        <v>5</v>
      </c>
      <c r="B12" s="110" t="s">
        <v>124</v>
      </c>
      <c r="C12" s="105" t="s">
        <v>574</v>
      </c>
      <c r="D12" s="145"/>
      <c r="E12" s="122" t="e">
        <f>VLOOKUP(Table25755252691013434446474849565758[[#This Row],[PEG]],Table1016[#All],3,FALSE)</f>
        <v>#N/A</v>
      </c>
    </row>
    <row r="13" spans="1:5" ht="30">
      <c r="A13" s="114">
        <v>6</v>
      </c>
      <c r="B13" s="110" t="s">
        <v>115</v>
      </c>
      <c r="C13" s="105" t="str">
        <f>VLOOKUP(Table25755252691013434446474849565758[[#This Row],[PEG]],Table1016[#All],2,FALSE)</f>
        <v>400.wav You can say make a payment, check account status, request a document, or more options. Which would you like?</v>
      </c>
      <c r="D13" s="145">
        <v>400</v>
      </c>
      <c r="E13" s="122" t="str">
        <f>VLOOKUP(Table25755252691013434446474849565758[[#This Row],[PEG]],Table1016[#All],3,FALSE)</f>
        <v>MENU PROMPT</v>
      </c>
    </row>
    <row r="14" spans="1:5">
      <c r="A14" s="114">
        <v>7</v>
      </c>
      <c r="B14" s="110" t="s">
        <v>124</v>
      </c>
      <c r="C14" s="105" t="s">
        <v>565</v>
      </c>
      <c r="D14" s="145"/>
      <c r="E14" s="122" t="e">
        <f>VLOOKUP(Table25755252691013434446474849565758[[#This Row],[PEG]],Table1016[#All],3,FALSE)</f>
        <v>#N/A</v>
      </c>
    </row>
    <row r="15" spans="1:5">
      <c r="A15" s="114">
        <v>8</v>
      </c>
      <c r="B15" s="110" t="s">
        <v>115</v>
      </c>
      <c r="C15" s="105" t="str">
        <f>VLOOKUP(Table25755252691013434446474849565758[[#This Row],[PEG]],Table1016[#All],2,FALSE)</f>
        <v>0200-1.wav To get started, what is your account number?</v>
      </c>
      <c r="D15" s="145">
        <v>200</v>
      </c>
      <c r="E15" s="122" t="str">
        <f>VLOOKUP(Table25755252691013434446474849565758[[#This Row],[PEG]],Table1016[#All],3,FALSE)</f>
        <v>MENU PROMPT</v>
      </c>
    </row>
    <row r="16" spans="1:5">
      <c r="A16" s="114">
        <v>9</v>
      </c>
      <c r="B16" s="110" t="s">
        <v>114</v>
      </c>
      <c r="C16" s="105" t="s">
        <v>515</v>
      </c>
      <c r="D16" s="112"/>
      <c r="E16" s="122" t="e">
        <f>VLOOKUP(Table25755252691013434446474849565758[[#This Row],[PEG]],Table1016[#All],3,FALSE)</f>
        <v>#N/A</v>
      </c>
    </row>
    <row r="17" spans="1:5">
      <c r="A17" s="114">
        <v>10</v>
      </c>
      <c r="B17" s="110" t="s">
        <v>115</v>
      </c>
      <c r="C17" s="105" t="str">
        <f>VLOOKUP(Table25755252691013434446474849565758[[#This Row],[PEG]],Table1016[#All],2,FALSE)</f>
        <v>0210-1.wav And the date of birth for the primary owner?</v>
      </c>
      <c r="D17" s="112">
        <v>210</v>
      </c>
      <c r="E17" s="122" t="str">
        <f>VLOOKUP(Table25755252691013434446474849565758[[#This Row],[PEG]],Table1016[#All],3,FALSE)</f>
        <v>MENU PROMPT</v>
      </c>
    </row>
    <row r="18" spans="1:5">
      <c r="A18" s="114">
        <v>11</v>
      </c>
      <c r="B18" s="110" t="s">
        <v>124</v>
      </c>
      <c r="C18" s="151" t="s">
        <v>524</v>
      </c>
      <c r="D18" s="113"/>
      <c r="E18" s="122" t="e">
        <f>VLOOKUP(Table25755252691013434446474849565758[[#This Row],[PEG]],Table1016[#All],3,FALSE)</f>
        <v>#N/A</v>
      </c>
    </row>
    <row r="19" spans="1:5">
      <c r="A19" s="114">
        <v>12</v>
      </c>
      <c r="B19" s="110" t="s">
        <v>115</v>
      </c>
      <c r="C19" s="105" t="str">
        <f>VLOOKUP(Table25755252691013434446474849565758[[#This Row],[PEG]],Table1016[#All],2,FALSE)</f>
        <v>0900.wav Please hold, while I connect you to a customer service representative.</v>
      </c>
      <c r="D19" s="113">
        <v>900</v>
      </c>
      <c r="E19" s="122" t="str">
        <f>VLOOKUP(Table25755252691013434446474849565758[[#This Row],[PEG]],Table1016[#All],3,FALSE)</f>
        <v>PLAY PROMPT</v>
      </c>
    </row>
    <row r="20" spans="1:5">
      <c r="A20" s="114">
        <v>13</v>
      </c>
      <c r="B20" s="110" t="s">
        <v>115</v>
      </c>
      <c r="C20" s="124" t="str">
        <f>VLOOKUP(Table25755252691013434446474849565758[[#This Row],[PEG]],Table1016[#All],2,FALSE)</f>
        <v>XferNbr.wav Transfer Number &lt;TransferNbr&gt;</v>
      </c>
      <c r="D20" s="113" t="s">
        <v>480</v>
      </c>
      <c r="E20" s="122" t="str">
        <f>VLOOKUP(Table25755252691013434446474849565758[[#This Row],[PEG]],Table1016[#All],3,FALSE)</f>
        <v>TEST</v>
      </c>
    </row>
    <row r="21" spans="1:5">
      <c r="A21" s="114">
        <v>14</v>
      </c>
      <c r="B21" s="110" t="s">
        <v>13</v>
      </c>
      <c r="C21" s="105" t="s">
        <v>13</v>
      </c>
      <c r="D21" s="111"/>
      <c r="E21" s="31"/>
    </row>
    <row r="22" spans="1:5">
      <c r="C22" s="25"/>
      <c r="D22" s="107" t="s">
        <v>0</v>
      </c>
    </row>
    <row r="23" spans="1:5">
      <c r="C23" s="25"/>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6"/>
    </row>
    <row r="38" spans="3:3">
      <c r="C38" s="26"/>
    </row>
    <row r="39" spans="3:3">
      <c r="C39" s="26"/>
    </row>
  </sheetData>
  <mergeCells count="1">
    <mergeCell ref="A1:B1"/>
  </mergeCells>
  <conditionalFormatting sqref="E21">
    <cfRule type="containsText" dxfId="6012" priority="43" operator="containsText" text="WEB SERVICE">
      <formula>NOT(ISERROR(SEARCH("WEB SERVICE",E21)))</formula>
    </cfRule>
    <cfRule type="containsText" dxfId="6011" priority="44" operator="containsText" text="DB">
      <formula>NOT(ISERROR(SEARCH("DB",E21)))</formula>
    </cfRule>
  </conditionalFormatting>
  <conditionalFormatting sqref="C21:C9978">
    <cfRule type="expression" dxfId="6010" priority="46">
      <formula>$B21="Dial"</formula>
    </cfRule>
    <cfRule type="expression" dxfId="6009" priority="48">
      <formula>$B21="HANGUP"</formula>
    </cfRule>
  </conditionalFormatting>
  <conditionalFormatting sqref="B8:B21">
    <cfRule type="containsText" dxfId="6008" priority="13" operator="containsText" text="Hear">
      <formula>NOT(ISERROR(SEARCH("Hear",B8)))</formula>
    </cfRule>
  </conditionalFormatting>
  <conditionalFormatting sqref="C19 C10:C15 C17">
    <cfRule type="expression" dxfId="6007" priority="14">
      <formula>$B10="Dial"</formula>
    </cfRule>
    <cfRule type="expression" dxfId="6006" priority="16">
      <formula>$B10="HANGUP"</formula>
    </cfRule>
  </conditionalFormatting>
  <conditionalFormatting sqref="C19 C10:C15 C17 C21">
    <cfRule type="expression" dxfId="6005" priority="15">
      <formula>$B10="Speak"</formula>
    </cfRule>
  </conditionalFormatting>
  <conditionalFormatting sqref="C8 C20">
    <cfRule type="expression" dxfId="6004" priority="9">
      <formula>$B8="Dial"</formula>
    </cfRule>
    <cfRule type="expression" dxfId="6003" priority="10">
      <formula>$B8="HANGUP"</formula>
    </cfRule>
  </conditionalFormatting>
  <conditionalFormatting sqref="C16">
    <cfRule type="expression" dxfId="6002" priority="6">
      <formula>$B16="Dial"</formula>
    </cfRule>
    <cfRule type="expression" dxfId="6001" priority="8">
      <formula>$B16="HANGUP"</formula>
    </cfRule>
  </conditionalFormatting>
  <conditionalFormatting sqref="C16">
    <cfRule type="expression" dxfId="6000" priority="7">
      <formula>$B16="Speak"</formula>
    </cfRule>
  </conditionalFormatting>
  <conditionalFormatting sqref="C18">
    <cfRule type="expression" dxfId="5999" priority="4">
      <formula>$B18="Dial"</formula>
    </cfRule>
    <cfRule type="expression" dxfId="5998" priority="5">
      <formula>$B18="HANGUP"</formula>
    </cfRule>
  </conditionalFormatting>
  <conditionalFormatting sqref="C9">
    <cfRule type="expression" dxfId="5997" priority="1">
      <formula>$B9="Dial"</formula>
    </cfRule>
    <cfRule type="expression" dxfId="5996" priority="3">
      <formula>$B9="HANGUP"</formula>
    </cfRule>
  </conditionalFormatting>
  <conditionalFormatting sqref="C9">
    <cfRule type="expression" dxfId="5995" priority="2">
      <formula>$B9="Speak"</formula>
    </cfRule>
  </conditionalFormatting>
  <hyperlinks>
    <hyperlink ref="A1" location="'Test Case Overview'!A1" display="Return to Test Case Overview" xr:uid="{00000000-0004-0000-18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52" operator="containsText" text="WEB SERVICE" id="{4C5A4FE1-4C9C-4452-A242-A8CDE0F06113}">
            <xm:f>NOT(ISERROR(SEARCH("WEB SERVICE",'TC1'!E10)))</xm:f>
            <x14:dxf>
              <font>
                <color rgb="FF9C0006"/>
              </font>
              <fill>
                <patternFill>
                  <bgColor rgb="FFFFC7CE"/>
                </patternFill>
              </fill>
            </x14:dxf>
          </x14:cfRule>
          <x14:cfRule type="containsText" priority="52" operator="containsText" text="DB" id="{C8AE5034-1900-49B8-B106-E9AE4E7AEADF}">
            <xm:f>NOT(ISERROR(SEARCH("DB",'TC1'!E10)))</xm:f>
            <x14:dxf>
              <font>
                <color rgb="FF006100"/>
              </font>
              <fill>
                <patternFill>
                  <bgColor rgb="FFC6EFCE"/>
                </patternFill>
              </fill>
            </x14:dxf>
          </x14:cfRule>
          <xm:sqref>E10:E13</xm:sqref>
        </x14:conditionalFormatting>
        <x14:conditionalFormatting xmlns:xm="http://schemas.microsoft.com/office/excel/2006/main">
          <x14:cfRule type="containsText" priority="807" operator="containsText" text="WEB SERVICE" id="{4C5A4FE1-4C9C-4452-A242-A8CDE0F06113}">
            <xm:f>NOT(ISERROR(SEARCH("WEB SERVICE",'TC1'!#REF!)))</xm:f>
            <x14:dxf>
              <font>
                <color rgb="FF9C0006"/>
              </font>
              <fill>
                <patternFill>
                  <bgColor rgb="FFFFC7CE"/>
                </patternFill>
              </fill>
            </x14:dxf>
          </x14:cfRule>
          <x14:cfRule type="containsText" priority="808" operator="containsText" text="DB" id="{C8AE5034-1900-49B8-B106-E9AE4E7AEADF}">
            <xm:f>NOT(ISERROR(SEARCH("DB",'TC1'!#REF!)))</xm:f>
            <x14:dxf>
              <font>
                <color rgb="FF006100"/>
              </font>
              <fill>
                <patternFill>
                  <bgColor rgb="FFC6EFCE"/>
                </patternFill>
              </fill>
            </x14:dxf>
          </x14:cfRule>
          <xm:sqref>E14:E20</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dimension ref="A1:E39"/>
  <sheetViews>
    <sheetView zoomScaleNormal="100" workbookViewId="0">
      <selection activeCell="C25" sqref="C25"/>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TC25</v>
      </c>
    </row>
    <row r="3" spans="1:5">
      <c r="A3" s="100" t="s">
        <v>19</v>
      </c>
      <c r="B3" s="108">
        <f ca="1">VLOOKUP(B2,Table1[#All],2,FALSE)</f>
        <v>0</v>
      </c>
    </row>
    <row r="4" spans="1:5" ht="30">
      <c r="A4" s="109" t="s">
        <v>20</v>
      </c>
      <c r="B4" s="95" t="str">
        <f ca="1">VLOOKUP(B2,Table1[#All],4,FALSE)</f>
        <v>FE Code=No Self Serve</v>
      </c>
    </row>
    <row r="5" spans="1:5" ht="45">
      <c r="A5" s="100" t="s">
        <v>6</v>
      </c>
      <c r="B5" s="89" t="str">
        <f ca="1">VLOOKUP(B2,Table1[#All],3,FALSE)</f>
        <v>CallStart Main Menu/Payments/Make Pmt /ID Auth/ID Auth True, Finance exception code=No Self Serve/Xfer</v>
      </c>
    </row>
    <row r="7" spans="1:5" ht="15.75">
      <c r="A7" s="96" t="s">
        <v>7</v>
      </c>
      <c r="B7" s="97" t="s">
        <v>8</v>
      </c>
      <c r="C7" s="98" t="s">
        <v>9</v>
      </c>
      <c r="D7" s="98" t="s">
        <v>14</v>
      </c>
      <c r="E7" s="99" t="s">
        <v>10</v>
      </c>
    </row>
    <row r="8" spans="1:5">
      <c r="A8" s="114">
        <v>1</v>
      </c>
      <c r="B8" s="110" t="s">
        <v>114</v>
      </c>
      <c r="C8" s="105" t="s">
        <v>125</v>
      </c>
      <c r="D8" s="125"/>
      <c r="E8" s="122" t="s">
        <v>11</v>
      </c>
    </row>
    <row r="9" spans="1:5" s="93" customFormat="1">
      <c r="A9" s="114">
        <v>2</v>
      </c>
      <c r="B9" s="110" t="s">
        <v>115</v>
      </c>
      <c r="C9" s="105" t="str">
        <f>VLOOKUP(Table2575525269101343444647484956575859[[#This Row],[PEG]],Table1016[#All],2,FALSE)</f>
        <v>CallID.wav Call ID &lt;CallID&gt;</v>
      </c>
      <c r="D9" s="145" t="s">
        <v>477</v>
      </c>
      <c r="E9" s="122"/>
    </row>
    <row r="10" spans="1:5" ht="30">
      <c r="A10" s="114">
        <v>3</v>
      </c>
      <c r="B10" s="110" t="s">
        <v>115</v>
      </c>
      <c r="C10" s="105" t="str">
        <f>VLOOKUP(Table2575525269101343444647484956575859[[#This Row],[PEG]],Table1016[#All],2,FALSE)</f>
        <v>0100.wav Thank you for calling Shell vacations Club, we are glad you called. Please have your account number available for faster service. [To continue in Spanish, press 9]</v>
      </c>
      <c r="D10" s="145">
        <v>100</v>
      </c>
      <c r="E10" s="122" t="str">
        <f>VLOOKUP(Table2575525269101343444647484956575859[[#This Row],[PEG]],Table1016[#All],3,FALSE)</f>
        <v>PLAY PROMPT</v>
      </c>
    </row>
    <row r="11" spans="1:5" ht="28.5" customHeight="1">
      <c r="A11" s="114">
        <v>4</v>
      </c>
      <c r="B11" s="110" t="s">
        <v>115</v>
      </c>
      <c r="C11" s="161" t="str">
        <f>VLOOKUP(Table2575525269101343444647484956575859[[#This Row],[PEG]],Table1016[#All],2,FALSE)</f>
        <v>0110-1.wav Which would you like? You can say... reservations, payments &amp; statements, title &amp; ownership changes, or more options.</v>
      </c>
      <c r="D11" s="145">
        <v>110</v>
      </c>
      <c r="E11" s="122" t="str">
        <f>VLOOKUP(Table2575525269101343444647484956575859[[#This Row],[PEG]],Table1016[#All],3,FALSE)</f>
        <v>MENU PROMPT</v>
      </c>
    </row>
    <row r="12" spans="1:5">
      <c r="A12" s="114">
        <v>5</v>
      </c>
      <c r="B12" s="110" t="s">
        <v>124</v>
      </c>
      <c r="C12" s="151" t="s">
        <v>572</v>
      </c>
      <c r="D12" s="145"/>
      <c r="E12" s="122" t="e">
        <f>VLOOKUP(Table2575525269101343444647484956575859[[#This Row],[PEG]],Table1016[#All],3,FALSE)</f>
        <v>#N/A</v>
      </c>
    </row>
    <row r="13" spans="1:5" ht="30">
      <c r="A13" s="114">
        <v>6</v>
      </c>
      <c r="B13" s="110" t="s">
        <v>115</v>
      </c>
      <c r="C13" s="156" t="str">
        <f>VLOOKUP(Table2575525269101343444647484956575859[[#This Row],[PEG]],Table1016[#All],2,FALSE)</f>
        <v>400.wav You can say make a payment, check account status, request a document, or more options. Which would you like?</v>
      </c>
      <c r="D13" s="145">
        <v>400</v>
      </c>
      <c r="E13" s="122" t="str">
        <f>VLOOKUP(Table2575525269101343444647484956575859[[#This Row],[PEG]],Table1016[#All],3,FALSE)</f>
        <v>MENU PROMPT</v>
      </c>
    </row>
    <row r="14" spans="1:5">
      <c r="A14" s="114">
        <v>7</v>
      </c>
      <c r="B14" s="110" t="s">
        <v>124</v>
      </c>
      <c r="C14" s="105" t="s">
        <v>572</v>
      </c>
      <c r="D14" s="145"/>
      <c r="E14" s="122" t="e">
        <f>VLOOKUP(Table2575525269101343444647484956575859[[#This Row],[PEG]],Table1016[#All],3,FALSE)</f>
        <v>#N/A</v>
      </c>
    </row>
    <row r="15" spans="1:5">
      <c r="A15" s="114">
        <v>8</v>
      </c>
      <c r="B15" s="110" t="s">
        <v>115</v>
      </c>
      <c r="C15" s="105" t="str">
        <f>VLOOKUP(Table2575525269101343444647484956575859[[#This Row],[PEG]],Table1016[#All],2,FALSE)</f>
        <v>0200-1.wav To get started, what is your account number?</v>
      </c>
      <c r="D15" s="145">
        <v>200</v>
      </c>
      <c r="E15" s="122" t="str">
        <f>VLOOKUP(Table2575525269101343444647484956575859[[#This Row],[PEG]],Table1016[#All],3,FALSE)</f>
        <v>MENU PROMPT</v>
      </c>
    </row>
    <row r="16" spans="1:5">
      <c r="A16" s="114">
        <v>9</v>
      </c>
      <c r="B16" s="110" t="s">
        <v>114</v>
      </c>
      <c r="C16" s="105" t="s">
        <v>515</v>
      </c>
      <c r="D16" s="112"/>
      <c r="E16" s="122" t="e">
        <f>VLOOKUP(Table2575525269101343444647484956575859[[#This Row],[PEG]],Table1016[#All],3,FALSE)</f>
        <v>#N/A</v>
      </c>
    </row>
    <row r="17" spans="1:5">
      <c r="A17" s="114">
        <v>10</v>
      </c>
      <c r="B17" s="110" t="s">
        <v>115</v>
      </c>
      <c r="C17" s="105" t="str">
        <f>VLOOKUP(Table2575525269101343444647484956575859[[#This Row],[PEG]],Table1016[#All],2,FALSE)</f>
        <v>0210-1.wav And the date of birth for the primary owner?</v>
      </c>
      <c r="D17" s="112">
        <v>210</v>
      </c>
      <c r="E17" s="122" t="str">
        <f>VLOOKUP(Table2575525269101343444647484956575859[[#This Row],[PEG]],Table1016[#All],3,FALSE)</f>
        <v>MENU PROMPT</v>
      </c>
    </row>
    <row r="18" spans="1:5">
      <c r="A18" s="114">
        <v>11</v>
      </c>
      <c r="B18" s="110" t="s">
        <v>124</v>
      </c>
      <c r="C18" s="151" t="s">
        <v>524</v>
      </c>
      <c r="D18" s="113"/>
      <c r="E18" s="122" t="e">
        <f>VLOOKUP(Table2575525269101343444647484956575859[[#This Row],[PEG]],Table1016[#All],3,FALSE)</f>
        <v>#N/A</v>
      </c>
    </row>
    <row r="19" spans="1:5">
      <c r="A19" s="114">
        <v>12</v>
      </c>
      <c r="B19" s="110" t="s">
        <v>115</v>
      </c>
      <c r="C19" s="105" t="str">
        <f>VLOOKUP(Table2575525269101343444647484956575859[[#This Row],[PEG]],Table1016[#All],2,FALSE)</f>
        <v>0900.wav Please hold, while I connect you to a customer service representative.</v>
      </c>
      <c r="D19" s="113">
        <v>900</v>
      </c>
      <c r="E19" s="122" t="str">
        <f>VLOOKUP(Table2575525269101343444647484956575859[[#This Row],[PEG]],Table1016[#All],3,FALSE)</f>
        <v>PLAY PROMPT</v>
      </c>
    </row>
    <row r="20" spans="1:5">
      <c r="A20" s="114">
        <v>13</v>
      </c>
      <c r="B20" s="110" t="s">
        <v>115</v>
      </c>
      <c r="C20" s="105" t="str">
        <f>VLOOKUP(Table2575525269101343444647484956575859[[#This Row],[PEG]],Table1016[#All],2,FALSE)</f>
        <v>XferNbr.wav Transfer Number &lt;TransferNbr&gt;</v>
      </c>
      <c r="D20" s="113" t="s">
        <v>480</v>
      </c>
      <c r="E20" s="122" t="str">
        <f>VLOOKUP(Table2575525269101343444647484956575859[[#This Row],[PEG]],Table1016[#All],3,FALSE)</f>
        <v>TEST</v>
      </c>
    </row>
    <row r="21" spans="1:5">
      <c r="A21" s="114">
        <v>14</v>
      </c>
      <c r="B21" s="110" t="s">
        <v>13</v>
      </c>
      <c r="C21" s="17" t="s">
        <v>13</v>
      </c>
      <c r="D21" s="111"/>
      <c r="E21" s="31"/>
    </row>
    <row r="22" spans="1:5">
      <c r="C22" s="25"/>
      <c r="D22" s="107" t="s">
        <v>0</v>
      </c>
    </row>
    <row r="23" spans="1:5">
      <c r="C23" s="25"/>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6"/>
    </row>
    <row r="38" spans="3:3">
      <c r="C38" s="26"/>
    </row>
    <row r="39" spans="3:3">
      <c r="C39" s="26"/>
    </row>
  </sheetData>
  <mergeCells count="1">
    <mergeCell ref="A1:B1"/>
  </mergeCells>
  <conditionalFormatting sqref="B21">
    <cfRule type="containsText" dxfId="5981" priority="37" operator="containsText" text="Hear">
      <formula>NOT(ISERROR(SEARCH("Hear",B21)))</formula>
    </cfRule>
  </conditionalFormatting>
  <conditionalFormatting sqref="E21">
    <cfRule type="containsText" dxfId="5980" priority="35" operator="containsText" text="WEB SERVICE">
      <formula>NOT(ISERROR(SEARCH("WEB SERVICE",E21)))</formula>
    </cfRule>
    <cfRule type="containsText" dxfId="5979" priority="36" operator="containsText" text="DB">
      <formula>NOT(ISERROR(SEARCH("DB",E21)))</formula>
    </cfRule>
  </conditionalFormatting>
  <conditionalFormatting sqref="C21:C9978">
    <cfRule type="expression" dxfId="5978" priority="38">
      <formula>$B21="Dial"</formula>
    </cfRule>
    <cfRule type="expression" dxfId="5977" priority="40">
      <formula>$B21="HANGUP"</formula>
    </cfRule>
  </conditionalFormatting>
  <conditionalFormatting sqref="C21">
    <cfRule type="expression" dxfId="5976" priority="39">
      <formula>$B21="Speak"</formula>
    </cfRule>
  </conditionalFormatting>
  <conditionalFormatting sqref="B8:B20">
    <cfRule type="containsText" dxfId="5975" priority="9" operator="containsText" text="Hear">
      <formula>NOT(ISERROR(SEARCH("Hear",B8)))</formula>
    </cfRule>
  </conditionalFormatting>
  <conditionalFormatting sqref="C16">
    <cfRule type="expression" dxfId="5974" priority="6">
      <formula>$B16="Dial"</formula>
    </cfRule>
    <cfRule type="expression" dxfId="5973" priority="8">
      <formula>$B16="HANGUP"</formula>
    </cfRule>
  </conditionalFormatting>
  <conditionalFormatting sqref="C16">
    <cfRule type="expression" dxfId="5972" priority="7">
      <formula>$B16="Speak"</formula>
    </cfRule>
  </conditionalFormatting>
  <conditionalFormatting sqref="C18">
    <cfRule type="expression" dxfId="5971" priority="4">
      <formula>$B18="Dial"</formula>
    </cfRule>
    <cfRule type="expression" dxfId="5970" priority="5">
      <formula>$B18="HANGUP"</formula>
    </cfRule>
  </conditionalFormatting>
  <hyperlinks>
    <hyperlink ref="A1" location="'Test Case Overview'!A1" display="Return to Test Case Overview" xr:uid="{00000000-0004-0000-19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31" id="{D03AE9F9-5461-47F9-BD14-B421098462BB}">
            <xm:f>'TC1'!$B8="Dial"</xm:f>
            <x14:dxf>
              <font>
                <b/>
                <i val="0"/>
                <color rgb="FFFF0000"/>
              </font>
            </x14:dxf>
          </x14:cfRule>
          <x14:cfRule type="expression" priority="33" id="{183CC0EE-9551-4426-94DA-5DABDB1F2ECF}">
            <xm:f>'TC1'!$B8="HANGUP"</xm:f>
            <x14:dxf>
              <font>
                <b/>
                <i val="0"/>
              </font>
            </x14:dxf>
          </x14:cfRule>
          <xm:sqref>C8:C13</xm:sqref>
        </x14:conditionalFormatting>
        <x14:conditionalFormatting xmlns:xm="http://schemas.microsoft.com/office/excel/2006/main">
          <x14:cfRule type="expression" priority="32" id="{AC860627-C72C-47D0-A098-A6F83C681827}">
            <xm:f>'TC1'!$B8="Speak"</xm:f>
            <x14:dxf>
              <font>
                <b/>
                <i val="0"/>
                <color rgb="FFFF0000"/>
              </font>
            </x14:dxf>
          </x14:cfRule>
          <xm:sqref>C8:C13</xm:sqref>
        </x14:conditionalFormatting>
        <x14:conditionalFormatting xmlns:xm="http://schemas.microsoft.com/office/excel/2006/main">
          <x14:cfRule type="containsText" priority="28" operator="containsText" text="WEB SERVICE" id="{9C98EE57-675D-4973-9744-D0BE6EF09514}">
            <xm:f>NOT(ISERROR(SEARCH("WEB SERVICE",'TC1'!E10)))</xm:f>
            <x14:dxf>
              <font>
                <color rgb="FF9C0006"/>
              </font>
              <fill>
                <patternFill>
                  <bgColor rgb="FFFFC7CE"/>
                </patternFill>
              </fill>
            </x14:dxf>
          </x14:cfRule>
          <x14:cfRule type="containsText" priority="29" operator="containsText" text="DB" id="{F3E335EC-0878-4A4B-9650-347AED63F068}">
            <xm:f>NOT(ISERROR(SEARCH("DB",'TC1'!E10)))</xm:f>
            <x14:dxf>
              <font>
                <color rgb="FF006100"/>
              </font>
              <fill>
                <patternFill>
                  <bgColor rgb="FFC6EFCE"/>
                </patternFill>
              </fill>
            </x14:dxf>
          </x14:cfRule>
          <xm:sqref>E10:E13</xm:sqref>
        </x14:conditionalFormatting>
        <x14:conditionalFormatting xmlns:xm="http://schemas.microsoft.com/office/excel/2006/main">
          <x14:cfRule type="expression" priority="813" id="{D03AE9F9-5461-47F9-BD14-B421098462BB}">
            <xm:f>'TC1'!#REF!="Dial"</xm:f>
            <x14:dxf>
              <font>
                <b/>
                <i val="0"/>
                <color rgb="FFFF0000"/>
              </font>
            </x14:dxf>
          </x14:cfRule>
          <x14:cfRule type="expression" priority="814" id="{183CC0EE-9551-4426-94DA-5DABDB1F2ECF}">
            <xm:f>'TC1'!#REF!="HANGUP"</xm:f>
            <x14:dxf>
              <font>
                <b/>
                <i val="0"/>
              </font>
            </x14:dxf>
          </x14:cfRule>
          <xm:sqref>C14:C15 C17 C19:C20</xm:sqref>
        </x14:conditionalFormatting>
        <x14:conditionalFormatting xmlns:xm="http://schemas.microsoft.com/office/excel/2006/main">
          <x14:cfRule type="expression" priority="819" id="{AC860627-C72C-47D0-A098-A6F83C681827}">
            <xm:f>'TC1'!#REF!="Speak"</xm:f>
            <x14:dxf>
              <font>
                <b/>
                <i val="0"/>
                <color rgb="FFFF0000"/>
              </font>
            </x14:dxf>
          </x14:cfRule>
          <xm:sqref>C14:C15 C17 C19:C20</xm:sqref>
        </x14:conditionalFormatting>
        <x14:conditionalFormatting xmlns:xm="http://schemas.microsoft.com/office/excel/2006/main">
          <x14:cfRule type="containsText" priority="825" operator="containsText" text="WEB SERVICE" id="{9C98EE57-675D-4973-9744-D0BE6EF09514}">
            <xm:f>NOT(ISERROR(SEARCH("WEB SERVICE",'TC1'!#REF!)))</xm:f>
            <x14:dxf>
              <font>
                <color rgb="FF9C0006"/>
              </font>
              <fill>
                <patternFill>
                  <bgColor rgb="FFFFC7CE"/>
                </patternFill>
              </fill>
            </x14:dxf>
          </x14:cfRule>
          <x14:cfRule type="containsText" priority="826" operator="containsText" text="DB" id="{F3E335EC-0878-4A4B-9650-347AED63F068}">
            <xm:f>NOT(ISERROR(SEARCH("DB",'TC1'!#REF!)))</xm:f>
            <x14:dxf>
              <font>
                <color rgb="FF006100"/>
              </font>
              <fill>
                <patternFill>
                  <bgColor rgb="FFC6EFCE"/>
                </patternFill>
              </fill>
            </x14:dxf>
          </x14:cfRule>
          <xm:sqref>E14:E20</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dimension ref="A1:E41"/>
  <sheetViews>
    <sheetView zoomScaleNormal="100" workbookViewId="0">
      <selection sqref="A1:B1"/>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8" t="s">
        <v>4</v>
      </c>
      <c r="B1" s="199"/>
      <c r="C1" s="101"/>
    </row>
    <row r="2" spans="1:5">
      <c r="A2" s="102" t="s">
        <v>5</v>
      </c>
      <c r="B2" s="103" t="str">
        <f ca="1">MID(CELL("filename",A1),FIND("]",CELL("filename",A1))+1,LEN(CELL("filename",A1))-FIND("]",CELL("filename",A1)))</f>
        <v>TC26</v>
      </c>
    </row>
    <row r="3" spans="1:5">
      <c r="A3" s="100" t="s">
        <v>19</v>
      </c>
      <c r="B3" s="108">
        <f ca="1">VLOOKUP(B2,Table1[#All],2,FALSE)</f>
        <v>0</v>
      </c>
    </row>
    <row r="4" spans="1:5" ht="30">
      <c r="A4" s="109" t="s">
        <v>20</v>
      </c>
      <c r="B4" s="95">
        <f ca="1">VLOOKUP(B2,Table1[#All],4,FALSE)</f>
        <v>0</v>
      </c>
    </row>
    <row r="5" spans="1:5" ht="45">
      <c r="A5" s="100" t="s">
        <v>6</v>
      </c>
      <c r="B5" s="89" t="str">
        <f ca="1">VLOOKUP(B2,Table1[#All],3,FALSE)</f>
        <v>CallStart MM/ Title Ownership changes/check status/ID Auth/ID Auth True/Change menu/rep/xfer</v>
      </c>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VLOOKUP(Table257552526911122021222360[[#This Row],[PEG]],Table1016[#All],2,FALSE)</f>
        <v>CallID.wav Call ID &lt;CallID&gt;</v>
      </c>
      <c r="D9" s="145" t="s">
        <v>477</v>
      </c>
      <c r="E9" s="122" t="str">
        <f>VLOOKUP(Table257552526911122021222360[[#This Row],[PEG]],Table1016[#All],3,FALSE)</f>
        <v>TEST</v>
      </c>
    </row>
    <row r="10" spans="1:5" ht="30">
      <c r="A10" s="114">
        <v>3</v>
      </c>
      <c r="B10" s="110" t="s">
        <v>115</v>
      </c>
      <c r="C10" s="105" t="str">
        <f>VLOOKUP(Table257552526911122021222360[[#This Row],[PEG]],Table1016[#All],2,FALSE)</f>
        <v>0100.wav Thank you for calling Shell vacations Club, we are glad you called. Please have your account number available for faster service. [To continue in Spanish, press 9]</v>
      </c>
      <c r="D10" s="145">
        <v>100</v>
      </c>
      <c r="E10" s="122" t="str">
        <f>VLOOKUP(Table257552526911122021222360[[#This Row],[PEG]],Table1016[#All],3,FALSE)</f>
        <v>PLAY PROMPT</v>
      </c>
    </row>
    <row r="11" spans="1:5" ht="30">
      <c r="A11" s="114">
        <v>4</v>
      </c>
      <c r="B11" s="110" t="s">
        <v>115</v>
      </c>
      <c r="C11" s="105" t="str">
        <f>VLOOKUP(Table257552526911122021222360[[#This Row],[PEG]],Table1016[#All],2,FALSE)</f>
        <v>0110-1.wav Which would you like? You can say... reservations, payments &amp; statements, title &amp; ownership changes, or more options.</v>
      </c>
      <c r="D11" s="145">
        <v>110</v>
      </c>
      <c r="E11" s="122" t="str">
        <f>VLOOKUP(Table257552526911122021222360[[#This Row],[PEG]],Table1016[#All],3,FALSE)</f>
        <v>MENU PROMPT</v>
      </c>
    </row>
    <row r="12" spans="1:5">
      <c r="A12" s="114">
        <v>5</v>
      </c>
      <c r="B12" s="110" t="s">
        <v>124</v>
      </c>
      <c r="C12" s="151" t="s">
        <v>2</v>
      </c>
      <c r="D12" s="145"/>
      <c r="E12" s="122" t="e">
        <f>VLOOKUP(Table257552526911122021222360[[#This Row],[PEG]],Table1016[#All],3,FALSE)</f>
        <v>#N/A</v>
      </c>
    </row>
    <row r="13" spans="1:5" ht="30">
      <c r="A13" s="114">
        <v>6</v>
      </c>
      <c r="B13" s="110" t="s">
        <v>115</v>
      </c>
      <c r="C13" s="105" t="str">
        <f>VLOOKUP(Table257552526911122021222360[[#This Row],[PEG]],Table1016[#All],2,FALSE)</f>
        <v>0300-1.wav You can say ownership changes, check status, make a payment, or help me with something else. Which would you like?</v>
      </c>
      <c r="D13" s="145">
        <v>300</v>
      </c>
      <c r="E13" s="122" t="str">
        <f>VLOOKUP(Table257552526911122021222360[[#This Row],[PEG]],Table1016[#All],3,FALSE)</f>
        <v>MENU PROMPT</v>
      </c>
    </row>
    <row r="14" spans="1:5">
      <c r="A14" s="114">
        <v>7</v>
      </c>
      <c r="B14" s="110" t="s">
        <v>124</v>
      </c>
      <c r="C14" s="151" t="s">
        <v>492</v>
      </c>
      <c r="D14" s="125"/>
      <c r="E14" s="122" t="e">
        <f>VLOOKUP(Table257552526911122021222360[[#This Row],[PEG]],Table1016[#All],3,FALSE)</f>
        <v>#N/A</v>
      </c>
    </row>
    <row r="15" spans="1:5">
      <c r="A15" s="114">
        <v>8</v>
      </c>
      <c r="B15" s="110" t="s">
        <v>115</v>
      </c>
      <c r="C15" s="105" t="str">
        <f>VLOOKUP(Table257552526911122021222360[[#This Row],[PEG]],Table1016[#All],2,FALSE)</f>
        <v>0200-1.wav To get started, what is your account number?</v>
      </c>
      <c r="D15" s="112">
        <v>200</v>
      </c>
      <c r="E15" s="122" t="str">
        <f>VLOOKUP(Table257552526911122021222360[[#This Row],[PEG]],Table1016[#All],3,FALSE)</f>
        <v>MENU PROMPT</v>
      </c>
    </row>
    <row r="16" spans="1:5">
      <c r="A16" s="114">
        <v>9</v>
      </c>
      <c r="B16" s="110" t="s">
        <v>124</v>
      </c>
      <c r="C16" s="105" t="s">
        <v>515</v>
      </c>
      <c r="D16" s="112"/>
      <c r="E16" s="122" t="e">
        <f>VLOOKUP(Table257552526911122021222360[[#This Row],[PEG]],Table1016[#All],3,FALSE)</f>
        <v>#N/A</v>
      </c>
    </row>
    <row r="17" spans="1:5">
      <c r="A17" s="114">
        <v>10</v>
      </c>
      <c r="B17" s="110" t="s">
        <v>12</v>
      </c>
      <c r="C17" s="105" t="str">
        <f>VLOOKUP(Table257552526911122021222360[[#This Row],[PEG]],Table1016[#All],2,FALSE)</f>
        <v>0210-1.wav And the date of birth for the primary owner?</v>
      </c>
      <c r="D17" s="113">
        <v>210</v>
      </c>
      <c r="E17" s="122" t="str">
        <f>VLOOKUP(Table257552526911122021222360[[#This Row],[PEG]],Table1016[#All],3,FALSE)</f>
        <v>MENU PROMPT</v>
      </c>
    </row>
    <row r="18" spans="1:5">
      <c r="A18" s="114">
        <v>11</v>
      </c>
      <c r="B18" s="110" t="s">
        <v>124</v>
      </c>
      <c r="C18" s="151" t="s">
        <v>524</v>
      </c>
      <c r="D18" s="113"/>
      <c r="E18" s="122" t="e">
        <f>VLOOKUP(Table257552526911122021222360[[#This Row],[PEG]],Table1016[#All],3,FALSE)</f>
        <v>#N/A</v>
      </c>
    </row>
    <row r="19" spans="1:5" ht="45">
      <c r="A19" s="114">
        <v>12</v>
      </c>
      <c r="B19" s="110" t="s">
        <v>115</v>
      </c>
      <c r="C19" s="105" t="str">
        <f>VLOOKUP(Table257552526911122021222360[[#This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13">
        <v>320</v>
      </c>
      <c r="E19" s="122" t="str">
        <f>VLOOKUP(Table257552526911122021222360[[#This Row],[PEG]],Table1016[#All],3,FALSE)</f>
        <v>MENU PROMPT</v>
      </c>
    </row>
    <row r="20" spans="1:5">
      <c r="A20" s="114">
        <v>13</v>
      </c>
      <c r="B20" s="110" t="s">
        <v>124</v>
      </c>
      <c r="C20" s="105" t="s">
        <v>473</v>
      </c>
      <c r="D20" s="113"/>
      <c r="E20" s="122" t="e">
        <f>VLOOKUP(Table257552526911122021222360[[#This Row],[PEG]],Table1016[#All],3,FALSE)</f>
        <v>#N/A</v>
      </c>
    </row>
    <row r="21" spans="1:5">
      <c r="A21" s="114">
        <v>14</v>
      </c>
      <c r="B21" s="110" t="s">
        <v>115</v>
      </c>
      <c r="C21" s="105" t="str">
        <f>VLOOKUP(Table257552526911122021222360[[#This Row],[PEG]],Table1016[#All],2,FALSE)</f>
        <v>0900.wav Please hold, while I connect you to a customer service representative.</v>
      </c>
      <c r="D21" s="113">
        <v>900</v>
      </c>
      <c r="E21" s="122" t="str">
        <f>VLOOKUP(Table257552526911122021222360[[#This Row],[PEG]],Table1016[#All],3,FALSE)</f>
        <v>PLAY PROMPT</v>
      </c>
    </row>
    <row r="22" spans="1:5">
      <c r="A22" s="114">
        <v>15</v>
      </c>
      <c r="B22" s="110" t="s">
        <v>114</v>
      </c>
      <c r="C22" s="105" t="str">
        <f>VLOOKUP(Table257552526911122021222360[[#This Row],[PEG]],Table1016[#All],2,FALSE)</f>
        <v>XferNbr.wav Transfer Number &lt;TransferNbr&gt;</v>
      </c>
      <c r="D22" s="113" t="s">
        <v>480</v>
      </c>
      <c r="E22" s="122" t="str">
        <f>VLOOKUP(Table257552526911122021222360[[#This Row],[PEG]],Table1016[#All],3,FALSE)</f>
        <v>TEST</v>
      </c>
    </row>
    <row r="23" spans="1:5">
      <c r="A23" s="114">
        <v>16</v>
      </c>
      <c r="B23" s="110" t="s">
        <v>13</v>
      </c>
      <c r="C23" s="17" t="s">
        <v>13</v>
      </c>
      <c r="D23" s="111"/>
      <c r="E23" s="31"/>
    </row>
    <row r="24" spans="1:5">
      <c r="C24" s="25"/>
      <c r="D24" s="107" t="s">
        <v>0</v>
      </c>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5"/>
    </row>
    <row r="39" spans="3:3">
      <c r="C39" s="26"/>
    </row>
    <row r="40" spans="3:3">
      <c r="C40" s="26"/>
    </row>
    <row r="41" spans="3:3">
      <c r="C41" s="26"/>
    </row>
  </sheetData>
  <mergeCells count="1">
    <mergeCell ref="A1:B1"/>
  </mergeCells>
  <conditionalFormatting sqref="B23">
    <cfRule type="containsText" dxfId="5950" priority="24" operator="containsText" text="Hear">
      <formula>NOT(ISERROR(SEARCH("Hear",B23)))</formula>
    </cfRule>
  </conditionalFormatting>
  <conditionalFormatting sqref="E23">
    <cfRule type="containsText" dxfId="5949" priority="22" operator="containsText" text="WEB SERVICE">
      <formula>NOT(ISERROR(SEARCH("WEB SERVICE",E23)))</formula>
    </cfRule>
    <cfRule type="containsText" dxfId="5948" priority="23" operator="containsText" text="DB">
      <formula>NOT(ISERROR(SEARCH("DB",E23)))</formula>
    </cfRule>
  </conditionalFormatting>
  <conditionalFormatting sqref="C23:C9980">
    <cfRule type="expression" dxfId="5947" priority="25">
      <formula>$B23="Dial"</formula>
    </cfRule>
    <cfRule type="expression" dxfId="5946" priority="27">
      <formula>$B23="HANGUP"</formula>
    </cfRule>
  </conditionalFormatting>
  <conditionalFormatting sqref="C23">
    <cfRule type="expression" dxfId="5945" priority="26">
      <formula>$B23="Speak"</formula>
    </cfRule>
  </conditionalFormatting>
  <conditionalFormatting sqref="B8:B22">
    <cfRule type="containsText" dxfId="5944" priority="6" operator="containsText" text="Hear">
      <formula>NOT(ISERROR(SEARCH("Hear",B8)))</formula>
    </cfRule>
  </conditionalFormatting>
  <conditionalFormatting sqref="C16">
    <cfRule type="expression" dxfId="5943" priority="3">
      <formula>$B16="Dial"</formula>
    </cfRule>
    <cfRule type="expression" dxfId="5942" priority="5">
      <formula>$B16="HANGUP"</formula>
    </cfRule>
  </conditionalFormatting>
  <conditionalFormatting sqref="C16">
    <cfRule type="expression" dxfId="5941" priority="4">
      <formula>$B16="Speak"</formula>
    </cfRule>
  </conditionalFormatting>
  <conditionalFormatting sqref="C18">
    <cfRule type="expression" dxfId="5940" priority="1">
      <formula>$B18="Dial"</formula>
    </cfRule>
    <cfRule type="expression" dxfId="5939" priority="2">
      <formula>$B18="HANGUP"</formula>
    </cfRule>
  </conditionalFormatting>
  <hyperlinks>
    <hyperlink ref="A1" location="'Test Case Overview'!A1" display="Return to Test Case Overview" xr:uid="{00000000-0004-0000-1A00-000000000000}"/>
  </hyperlink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9" id="{6A3E0817-588B-433F-9281-1922AB301E3E}">
            <xm:f>'TC1'!$B8="Dial"</xm:f>
            <x14:dxf>
              <font>
                <b/>
                <i val="0"/>
                <color rgb="FFFF0000"/>
              </font>
            </x14:dxf>
          </x14:cfRule>
          <x14:cfRule type="expression" priority="21" id="{2C956B88-73B0-45F8-B3AC-9680B6621D5E}">
            <xm:f>'TC1'!$B8="HANGUP"</xm:f>
            <x14:dxf>
              <font>
                <b/>
                <i val="0"/>
              </font>
            </x14:dxf>
          </x14:cfRule>
          <xm:sqref>C8</xm:sqref>
        </x14:conditionalFormatting>
        <x14:conditionalFormatting xmlns:xm="http://schemas.microsoft.com/office/excel/2006/main">
          <x14:cfRule type="expression" priority="20" id="{1563D611-A2B2-4F28-891C-862556A70D7C}">
            <xm:f>'TC1'!$B8="Speak"</xm:f>
            <x14:dxf>
              <font>
                <b/>
                <i val="0"/>
                <color rgb="FFFF0000"/>
              </font>
            </x14:dxf>
          </x14:cfRule>
          <xm:sqref>C8</xm:sqref>
        </x14:conditionalFormatting>
        <x14:conditionalFormatting xmlns:xm="http://schemas.microsoft.com/office/excel/2006/main">
          <x14:cfRule type="containsText" priority="16" operator="containsText" text="WEB SERVICE" id="{45315BD4-BAA3-4481-A66A-8A679F45CD98}">
            <xm:f>NOT(ISERROR(SEARCH("WEB SERVICE",'TC1'!E10)))</xm:f>
            <x14:dxf>
              <font>
                <color rgb="FF9C0006"/>
              </font>
              <fill>
                <patternFill>
                  <bgColor rgb="FFFFC7CE"/>
                </patternFill>
              </fill>
            </x14:dxf>
          </x14:cfRule>
          <x14:cfRule type="containsText" priority="17" operator="containsText" text="DB" id="{B4F94E0B-4688-4B5B-AC55-284D1BC02B94}">
            <xm:f>NOT(ISERROR(SEARCH("DB",'TC1'!E10)))</xm:f>
            <x14:dxf>
              <font>
                <color rgb="FF006100"/>
              </font>
              <fill>
                <patternFill>
                  <bgColor rgb="FFC6EFCE"/>
                </patternFill>
              </fill>
            </x14:dxf>
          </x14:cfRule>
          <xm:sqref>E9:E12</xm:sqref>
        </x14:conditionalFormatting>
        <x14:conditionalFormatting xmlns:xm="http://schemas.microsoft.com/office/excel/2006/main">
          <x14:cfRule type="expression" priority="828" id="{6A3E0817-588B-433F-9281-1922AB301E3E}">
            <xm:f>'TC1'!#REF!="Dial"</xm:f>
            <x14:dxf>
              <font>
                <b/>
                <i val="0"/>
                <color rgb="FFFF0000"/>
              </font>
            </x14:dxf>
          </x14:cfRule>
          <x14:cfRule type="expression" priority="829" id="{2C956B88-73B0-45F8-B3AC-9680B6621D5E}">
            <xm:f>'TC1'!#REF!="HANGUP"</xm:f>
            <x14:dxf>
              <font>
                <b/>
                <i val="0"/>
              </font>
            </x14:dxf>
          </x14:cfRule>
          <xm:sqref>C13:C15 C17 C19:C22</xm:sqref>
        </x14:conditionalFormatting>
        <x14:conditionalFormatting xmlns:xm="http://schemas.microsoft.com/office/excel/2006/main">
          <x14:cfRule type="expression" priority="834" id="{1563D611-A2B2-4F28-891C-862556A70D7C}">
            <xm:f>'TC1'!#REF!="Speak"</xm:f>
            <x14:dxf>
              <font>
                <b/>
                <i val="0"/>
                <color rgb="FFFF0000"/>
              </font>
            </x14:dxf>
          </x14:cfRule>
          <xm:sqref>C13:C15 C17 C19:C22</xm:sqref>
        </x14:conditionalFormatting>
        <x14:conditionalFormatting xmlns:xm="http://schemas.microsoft.com/office/excel/2006/main">
          <x14:cfRule type="containsText" priority="840" operator="containsText" text="WEB SERVICE" id="{45315BD4-BAA3-4481-A66A-8A679F45CD98}">
            <xm:f>NOT(ISERROR(SEARCH("WEB SERVICE",'TC1'!#REF!)))</xm:f>
            <x14:dxf>
              <font>
                <color rgb="FF9C0006"/>
              </font>
              <fill>
                <patternFill>
                  <bgColor rgb="FFFFC7CE"/>
                </patternFill>
              </fill>
            </x14:dxf>
          </x14:cfRule>
          <x14:cfRule type="containsText" priority="841" operator="containsText" text="DB" id="{B4F94E0B-4688-4B5B-AC55-284D1BC02B94}">
            <xm:f>NOT(ISERROR(SEARCH("DB",'TC1'!#REF!)))</xm:f>
            <x14:dxf>
              <font>
                <color rgb="FF006100"/>
              </font>
              <fill>
                <patternFill>
                  <bgColor rgb="FFC6EFCE"/>
                </patternFill>
              </fill>
            </x14:dxf>
          </x14:cfRule>
          <xm:sqref>E13:E22</xm:sqref>
        </x14:conditionalFormatting>
        <x14:conditionalFormatting xmlns:xm="http://schemas.microsoft.com/office/excel/2006/main">
          <x14:cfRule type="expression" priority="3613" id="{6A3E0817-588B-433F-9281-1922AB301E3E}">
            <xm:f>'TC1'!$B10="Dial"</xm:f>
            <x14:dxf>
              <font>
                <b/>
                <i val="0"/>
                <color rgb="FFFF0000"/>
              </font>
            </x14:dxf>
          </x14:cfRule>
          <x14:cfRule type="expression" priority="3614" id="{2C956B88-73B0-45F8-B3AC-9680B6621D5E}">
            <xm:f>'TC1'!$B10="HANGUP"</xm:f>
            <x14:dxf>
              <font>
                <b/>
                <i val="0"/>
              </font>
            </x14:dxf>
          </x14:cfRule>
          <xm:sqref>C9:C12</xm:sqref>
        </x14:conditionalFormatting>
        <x14:conditionalFormatting xmlns:xm="http://schemas.microsoft.com/office/excel/2006/main">
          <x14:cfRule type="expression" priority="3616" id="{1563D611-A2B2-4F28-891C-862556A70D7C}">
            <xm:f>'TC1'!$B10="Speak"</xm:f>
            <x14:dxf>
              <font>
                <b/>
                <i val="0"/>
                <color rgb="FFFF0000"/>
              </font>
            </x14:dxf>
          </x14:cfRule>
          <xm:sqref>C9:C12</xm:sqref>
        </x14:conditionalFormatting>
      </x14:conditionalFormatting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dimension ref="A1:E40"/>
  <sheetViews>
    <sheetView zoomScaleNormal="100" workbookViewId="0">
      <selection activeCell="C26" sqref="C26"/>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8" t="s">
        <v>4</v>
      </c>
      <c r="B1" s="199"/>
      <c r="C1" s="101"/>
    </row>
    <row r="2" spans="1:5">
      <c r="A2" s="102" t="s">
        <v>5</v>
      </c>
      <c r="B2" s="103" t="str">
        <f ca="1">MID(CELL("filename",A1),FIND("]",CELL("filename",A1))+1,LEN(CELL("filename",A1))-FIND("]",CELL("filename",A1)))</f>
        <v>TC27</v>
      </c>
    </row>
    <row r="3" spans="1:5">
      <c r="A3" s="100" t="s">
        <v>19</v>
      </c>
      <c r="B3" s="108">
        <f ca="1">VLOOKUP(B2,Table1[#All],2,FALSE)</f>
        <v>0</v>
      </c>
    </row>
    <row r="4" spans="1:5" ht="30">
      <c r="A4" s="109" t="s">
        <v>20</v>
      </c>
      <c r="B4" s="95" t="str">
        <f ca="1">VLOOKUP(B2,Table1[#All],4,FALSE)</f>
        <v>Autopay not active</v>
      </c>
    </row>
    <row r="5" spans="1:5" ht="60">
      <c r="A5" s="100" t="s">
        <v>6</v>
      </c>
      <c r="B5" s="89" t="str">
        <f ca="1">VLOOKUP(B2,Table1[#All],3,FALSE)</f>
        <v>CallStart Main Menu/Pmt &amp; Stmt/Make Pmt/ serviceType=makePayment /ID Auth/ID Auth True, Finance exception code=Else,Autopay not Active /Xfer</v>
      </c>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VLOOKUP(Table25755252691112202122236062[[#This Row],[PEG]],Table1016[#All],2,FALSE)</f>
        <v>CallID.wav Call ID &lt;CallID&gt;</v>
      </c>
      <c r="D9" s="145" t="s">
        <v>477</v>
      </c>
      <c r="E9" s="122" t="str">
        <f>VLOOKUP(Table25755252691112202122236062[[#This Row],[PEG]],Table1016[#All],3,FALSE)</f>
        <v>TEST</v>
      </c>
    </row>
    <row r="10" spans="1:5" ht="30">
      <c r="A10" s="114">
        <v>3</v>
      </c>
      <c r="B10" s="110" t="s">
        <v>115</v>
      </c>
      <c r="C10" s="105" t="str">
        <f>VLOOKUP(Table25755252691112202122236062[[#This Row],[PEG]],Table1016[#All],2,FALSE)</f>
        <v>0100.wav Thank you for calling Shell vacations Club, we are glad you called. Please have your account number available for faster service. [To continue in Spanish, press 9]</v>
      </c>
      <c r="D10" s="145">
        <v>100</v>
      </c>
      <c r="E10" s="122" t="str">
        <f>VLOOKUP(Table25755252691112202122236062[[#This Row],[PEG]],Table1016[#All],3,FALSE)</f>
        <v>PLAY PROMPT</v>
      </c>
    </row>
    <row r="11" spans="1:5" ht="30">
      <c r="A11" s="114">
        <v>4</v>
      </c>
      <c r="B11" s="110" t="s">
        <v>115</v>
      </c>
      <c r="C11" s="105" t="str">
        <f>VLOOKUP(Table25755252691112202122236062[[#This Row],[PEG]],Table1016[#All],2,FALSE)</f>
        <v>0110-1.wav Which would you like? You can say... reservations, payments &amp; statements, title &amp; ownership changes, or more options.</v>
      </c>
      <c r="D11" s="145">
        <v>110</v>
      </c>
      <c r="E11" s="122" t="str">
        <f>VLOOKUP(Table25755252691112202122236062[[#This Row],[PEG]],Table1016[#All],3,FALSE)</f>
        <v>MENU PROMPT</v>
      </c>
    </row>
    <row r="12" spans="1:5">
      <c r="A12" s="114">
        <v>5</v>
      </c>
      <c r="B12" s="110" t="s">
        <v>124</v>
      </c>
      <c r="C12" s="158" t="s">
        <v>565</v>
      </c>
      <c r="D12" s="145"/>
      <c r="E12" s="122" t="e">
        <f>VLOOKUP(Table25755252691112202122236062[[#This Row],[PEG]],Table1016[#All],3,FALSE)</f>
        <v>#N/A</v>
      </c>
    </row>
    <row r="13" spans="1:5" ht="30">
      <c r="A13" s="114">
        <v>6</v>
      </c>
      <c r="B13" s="110" t="s">
        <v>115</v>
      </c>
      <c r="C13" s="105" t="str">
        <f>VLOOKUP(Table25755252691112202122236062[[#This Row],[PEG]],Table1016[#All],2,FALSE)</f>
        <v>400.wav You can say make a payment, check account status, request a document, or more options. Which would you like?</v>
      </c>
      <c r="D13" s="145">
        <v>400</v>
      </c>
      <c r="E13" s="122" t="str">
        <f>VLOOKUP(Table25755252691112202122236062[[#This Row],[PEG]],Table1016[#All],3,FALSE)</f>
        <v>MENU PROMPT</v>
      </c>
    </row>
    <row r="14" spans="1:5">
      <c r="A14" s="114">
        <v>7</v>
      </c>
      <c r="B14" s="110" t="s">
        <v>124</v>
      </c>
      <c r="C14" s="151" t="s">
        <v>572</v>
      </c>
      <c r="D14" s="125"/>
      <c r="E14" s="122" t="e">
        <f>VLOOKUP(Table25755252691112202122236062[[#This Row],[PEG]],Table1016[#All],3,FALSE)</f>
        <v>#N/A</v>
      </c>
    </row>
    <row r="15" spans="1:5">
      <c r="A15" s="114">
        <v>8</v>
      </c>
      <c r="B15" s="110" t="s">
        <v>115</v>
      </c>
      <c r="C15" s="105" t="str">
        <f>VLOOKUP(Table25755252691112202122236062[[#This Row],[PEG]],Table1016[#All],2,FALSE)</f>
        <v>0200-1.wav To get started, what is your account number?</v>
      </c>
      <c r="D15" s="112">
        <v>200</v>
      </c>
      <c r="E15" s="122" t="str">
        <f>VLOOKUP(Table25755252691112202122236062[[#This Row],[PEG]],Table1016[#All],3,FALSE)</f>
        <v>MENU PROMPT</v>
      </c>
    </row>
    <row r="16" spans="1:5">
      <c r="A16" s="114">
        <v>9</v>
      </c>
      <c r="B16" s="110" t="s">
        <v>114</v>
      </c>
      <c r="C16" s="151" t="s">
        <v>515</v>
      </c>
      <c r="D16" s="112"/>
      <c r="E16" s="122" t="e">
        <f>VLOOKUP(Table25755252691112202122236062[[#This Row],[PEG]],Table1016[#All],3,FALSE)</f>
        <v>#N/A</v>
      </c>
    </row>
    <row r="17" spans="1:5">
      <c r="A17" s="114">
        <v>10</v>
      </c>
      <c r="B17" s="110" t="s">
        <v>115</v>
      </c>
      <c r="C17" s="105" t="str">
        <f>VLOOKUP(Table25755252691112202122236062[[#This Row],[PEG]],Table1016[#All],2,FALSE)</f>
        <v>0210-1.wav And the date of birth for the primary owner?</v>
      </c>
      <c r="D17" s="113">
        <v>210</v>
      </c>
      <c r="E17" s="122" t="str">
        <f>VLOOKUP(Table25755252691112202122236062[[#This Row],[PEG]],Table1016[#All],3,FALSE)</f>
        <v>MENU PROMPT</v>
      </c>
    </row>
    <row r="18" spans="1:5">
      <c r="A18" s="114">
        <v>11</v>
      </c>
      <c r="B18" s="110" t="s">
        <v>124</v>
      </c>
      <c r="C18" s="151" t="s">
        <v>524</v>
      </c>
      <c r="D18" s="113"/>
      <c r="E18" s="122" t="e">
        <f>VLOOKUP(Table25755252691112202122236062[[#This Row],[PEG]],Table1016[#All],3,FALSE)</f>
        <v>#N/A</v>
      </c>
    </row>
    <row r="19" spans="1:5" s="93" customFormat="1" ht="45">
      <c r="A19" s="114">
        <v>12</v>
      </c>
      <c r="B19" s="110" t="s">
        <v>115</v>
      </c>
      <c r="C19" s="105" t="str">
        <f>VLOOKUP(Table25755252691112202122236062[[#This Row],[PEG]],Table1016[#All],2,FALSE)</f>
        <v>0430aAutopay.wav We invite you to enroll in our Auto Pay program, it's a great way to avoid payment oversights and certain processing fees. To enroll, please hold while we transfer you then follow the prompts to enroll and make a payment.</v>
      </c>
      <c r="D19" s="113">
        <v>430</v>
      </c>
      <c r="E19" s="122"/>
    </row>
    <row r="20" spans="1:5">
      <c r="A20" s="114">
        <v>13</v>
      </c>
      <c r="B20" s="110" t="s">
        <v>115</v>
      </c>
      <c r="C20" s="105" t="str">
        <f>VLOOKUP(Table25755252691112202122236062[[#This Row],[PEG]],Table1016[#All],2,FALSE)</f>
        <v>0900.wav Please hold, while I connect you to a customer service representative.</v>
      </c>
      <c r="D20" s="113">
        <v>900</v>
      </c>
      <c r="E20" s="122" t="str">
        <f>VLOOKUP(Table25755252691112202122236062[[#This Row],[PEG]],Table1016[#All],3,FALSE)</f>
        <v>PLAY PROMPT</v>
      </c>
    </row>
    <row r="21" spans="1:5">
      <c r="A21" s="114">
        <v>14</v>
      </c>
      <c r="B21" s="110" t="s">
        <v>115</v>
      </c>
      <c r="C21" s="105" t="str">
        <f>VLOOKUP(Table25755252691112202122236062[[#This Row],[PEG]],Table1016[#All],2,FALSE)</f>
        <v>XferNbr.wav Transfer Number &lt;TransferNbr&gt;</v>
      </c>
      <c r="D21" s="113" t="s">
        <v>480</v>
      </c>
      <c r="E21" s="122" t="str">
        <f>VLOOKUP(Table25755252691112202122236062[[#This Row],[PEG]],Table1016[#All],3,FALSE)</f>
        <v>TEST</v>
      </c>
    </row>
    <row r="22" spans="1:5">
      <c r="A22" s="114">
        <v>15</v>
      </c>
      <c r="B22" s="110" t="s">
        <v>13</v>
      </c>
      <c r="C22" s="17" t="s">
        <v>13</v>
      </c>
      <c r="D22" s="111"/>
      <c r="E22" s="31"/>
    </row>
    <row r="23" spans="1:5">
      <c r="C23" s="25"/>
      <c r="D23" s="107" t="s">
        <v>0</v>
      </c>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6"/>
    </row>
    <row r="39" spans="3:3">
      <c r="C39" s="26"/>
    </row>
    <row r="40" spans="3:3">
      <c r="C40" s="26"/>
    </row>
  </sheetData>
  <mergeCells count="1">
    <mergeCell ref="A1:B1"/>
  </mergeCells>
  <conditionalFormatting sqref="B22">
    <cfRule type="containsText" dxfId="5916" priority="36" operator="containsText" text="Hear">
      <formula>NOT(ISERROR(SEARCH("Hear",B22)))</formula>
    </cfRule>
  </conditionalFormatting>
  <conditionalFormatting sqref="E22">
    <cfRule type="containsText" dxfId="5915" priority="34" operator="containsText" text="WEB SERVICE">
      <formula>NOT(ISERROR(SEARCH("WEB SERVICE",E22)))</formula>
    </cfRule>
    <cfRule type="containsText" dxfId="5914" priority="35" operator="containsText" text="DB">
      <formula>NOT(ISERROR(SEARCH("DB",E22)))</formula>
    </cfRule>
  </conditionalFormatting>
  <conditionalFormatting sqref="C22:C9979">
    <cfRule type="expression" dxfId="5913" priority="37">
      <formula>$B22="Dial"</formula>
    </cfRule>
    <cfRule type="expression" dxfId="5912" priority="39">
      <formula>$B22="HANGUP"</formula>
    </cfRule>
  </conditionalFormatting>
  <conditionalFormatting sqref="C22">
    <cfRule type="expression" dxfId="5911" priority="38">
      <formula>$B22="Speak"</formula>
    </cfRule>
  </conditionalFormatting>
  <conditionalFormatting sqref="B8:B21">
    <cfRule type="containsText" dxfId="5910" priority="10" operator="containsText" text="Hear">
      <formula>NOT(ISERROR(SEARCH("Hear",B8)))</formula>
    </cfRule>
  </conditionalFormatting>
  <hyperlinks>
    <hyperlink ref="A1" location="'Test Case Overview'!A1" display="Return to Test Case Overview" xr:uid="{00000000-0004-0000-1B00-000000000000}"/>
  </hyperlink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31" id="{365CFE6B-F2D1-4E12-916E-919FFDAEF6DD}">
            <xm:f>'TC1'!$B8="Dial"</xm:f>
            <x14:dxf>
              <font>
                <b/>
                <i val="0"/>
                <color rgb="FFFF0000"/>
              </font>
            </x14:dxf>
          </x14:cfRule>
          <x14:cfRule type="expression" priority="33" id="{A2EED5AC-F80D-4D87-8FBD-9AAFB36C8CE3}">
            <xm:f>'TC1'!$B8="HANGUP"</xm:f>
            <x14:dxf>
              <font>
                <b/>
                <i val="0"/>
              </font>
            </x14:dxf>
          </x14:cfRule>
          <xm:sqref>C8</xm:sqref>
        </x14:conditionalFormatting>
        <x14:conditionalFormatting xmlns:xm="http://schemas.microsoft.com/office/excel/2006/main">
          <x14:cfRule type="expression" priority="32" id="{B89E54AD-CB19-437A-8728-A90A84E41FCF}">
            <xm:f>'TC1'!$B8="Speak"</xm:f>
            <x14:dxf>
              <font>
                <b/>
                <i val="0"/>
                <color rgb="FFFF0000"/>
              </font>
            </x14:dxf>
          </x14:cfRule>
          <xm:sqref>C8</xm:sqref>
        </x14:conditionalFormatting>
        <x14:conditionalFormatting xmlns:xm="http://schemas.microsoft.com/office/excel/2006/main">
          <x14:cfRule type="containsText" priority="28" operator="containsText" text="WEB SERVICE" id="{40DCF89C-BA9A-434B-BE16-81872318923B}">
            <xm:f>NOT(ISERROR(SEARCH("WEB SERVICE",'TC1'!E10)))</xm:f>
            <x14:dxf>
              <font>
                <color rgb="FF9C0006"/>
              </font>
              <fill>
                <patternFill>
                  <bgColor rgb="FFFFC7CE"/>
                </patternFill>
              </fill>
            </x14:dxf>
          </x14:cfRule>
          <x14:cfRule type="containsText" priority="29" operator="containsText" text="DB" id="{8DC27717-14E6-4C13-9D8C-4C9569AF0DF3}">
            <xm:f>NOT(ISERROR(SEARCH("DB",'TC1'!E10)))</xm:f>
            <x14:dxf>
              <font>
                <color rgb="FF006100"/>
              </font>
              <fill>
                <patternFill>
                  <bgColor rgb="FFC6EFCE"/>
                </patternFill>
              </fill>
            </x14:dxf>
          </x14:cfRule>
          <xm:sqref>E9:E12</xm:sqref>
        </x14:conditionalFormatting>
        <x14:conditionalFormatting xmlns:xm="http://schemas.microsoft.com/office/excel/2006/main">
          <x14:cfRule type="expression" priority="849" id="{365CFE6B-F2D1-4E12-916E-919FFDAEF6DD}">
            <xm:f>'TC1'!#REF!="Dial"</xm:f>
            <x14:dxf>
              <font>
                <b/>
                <i val="0"/>
                <color rgb="FFFF0000"/>
              </font>
            </x14:dxf>
          </x14:cfRule>
          <x14:cfRule type="expression" priority="850" id="{A2EED5AC-F80D-4D87-8FBD-9AAFB36C8CE3}">
            <xm:f>'TC1'!#REF!="HANGUP"</xm:f>
            <x14:dxf>
              <font>
                <b/>
                <i val="0"/>
              </font>
            </x14:dxf>
          </x14:cfRule>
          <xm:sqref>C13:C15 C17 C20:C21</xm:sqref>
        </x14:conditionalFormatting>
        <x14:conditionalFormatting xmlns:xm="http://schemas.microsoft.com/office/excel/2006/main">
          <x14:cfRule type="expression" priority="852" id="{B89E54AD-CB19-437A-8728-A90A84E41FCF}">
            <xm:f>'TC1'!#REF!="Speak"</xm:f>
            <x14:dxf>
              <font>
                <b/>
                <i val="0"/>
                <color rgb="FFFF0000"/>
              </font>
            </x14:dxf>
          </x14:cfRule>
          <xm:sqref>C13:C15 C17 C20:C21</xm:sqref>
        </x14:conditionalFormatting>
        <x14:conditionalFormatting xmlns:xm="http://schemas.microsoft.com/office/excel/2006/main">
          <x14:cfRule type="containsText" priority="855" operator="containsText" text="WEB SERVICE" id="{40DCF89C-BA9A-434B-BE16-81872318923B}">
            <xm:f>NOT(ISERROR(SEARCH("WEB SERVICE",'TC1'!#REF!)))</xm:f>
            <x14:dxf>
              <font>
                <color rgb="FF9C0006"/>
              </font>
              <fill>
                <patternFill>
                  <bgColor rgb="FFFFC7CE"/>
                </patternFill>
              </fill>
            </x14:dxf>
          </x14:cfRule>
          <x14:cfRule type="containsText" priority="856" operator="containsText" text="DB" id="{8DC27717-14E6-4C13-9D8C-4C9569AF0DF3}">
            <xm:f>NOT(ISERROR(SEARCH("DB",'TC1'!#REF!)))</xm:f>
            <x14:dxf>
              <font>
                <color rgb="FF006100"/>
              </font>
              <fill>
                <patternFill>
                  <bgColor rgb="FFC6EFCE"/>
                </patternFill>
              </fill>
            </x14:dxf>
          </x14:cfRule>
          <xm:sqref>E13:E21</xm:sqref>
        </x14:conditionalFormatting>
        <x14:conditionalFormatting xmlns:xm="http://schemas.microsoft.com/office/excel/2006/main">
          <x14:cfRule type="expression" priority="3624" id="{365CFE6B-F2D1-4E12-916E-919FFDAEF6DD}">
            <xm:f>'TC1'!$B10="Dial"</xm:f>
            <x14:dxf>
              <font>
                <b/>
                <i val="0"/>
                <color rgb="FFFF0000"/>
              </font>
            </x14:dxf>
          </x14:cfRule>
          <x14:cfRule type="expression" priority="3625" id="{A2EED5AC-F80D-4D87-8FBD-9AAFB36C8CE3}">
            <xm:f>'TC1'!$B10="HANGUP"</xm:f>
            <x14:dxf>
              <font>
                <b/>
                <i val="0"/>
              </font>
            </x14:dxf>
          </x14:cfRule>
          <xm:sqref>C9:C12</xm:sqref>
        </x14:conditionalFormatting>
        <x14:conditionalFormatting xmlns:xm="http://schemas.microsoft.com/office/excel/2006/main">
          <x14:cfRule type="expression" priority="3627" id="{B89E54AD-CB19-437A-8728-A90A84E41FCF}">
            <xm:f>'TC1'!$B10="Speak"</xm:f>
            <x14:dxf>
              <font>
                <b/>
                <i val="0"/>
                <color rgb="FFFF0000"/>
              </font>
            </x14:dxf>
          </x14:cfRule>
          <xm:sqref>C9:C12</xm:sqref>
        </x14:conditionalFormatting>
        <x14:conditionalFormatting xmlns:xm="http://schemas.microsoft.com/office/excel/2006/main">
          <x14:cfRule type="expression" priority="7" id="{1C29B731-64EC-45D4-9958-FDDAC85C8CAC}">
            <xm:f>'\Users\deannah\Wyndham Testing\[Wyndham Destinations_TestCaseOverview_V3_Template.xlsx]TC1'!#REF!="HANGUP"</xm:f>
            <x14:dxf>
              <font>
                <b/>
                <i val="0"/>
              </font>
            </x14:dxf>
          </x14:cfRule>
          <x14:cfRule type="expression" priority="8" id="{A7727DB5-087D-4F9D-A2E0-57E98D80B716}">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9" id="{E3399033-B821-4A77-95B1-FFED9A76F714}">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4" id="{76A2B43F-6F36-4F41-8B6F-A1F2A395A60F}">
            <xm:f>'\Users\deannah\Wyndham Testing\[Wyndham Destinations_TestCaseOverview_V3_Template.xlsx]TC1'!#REF!="HANGUP"</xm:f>
            <x14:dxf>
              <font>
                <b/>
                <i val="0"/>
              </font>
            </x14:dxf>
          </x14:cfRule>
          <x14:cfRule type="expression" priority="5" id="{364F55EC-0CBF-4F93-82B6-A92C4A7D092E}">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6" id="{98A8D46D-7A46-423E-AE3E-DFFF68158461}">
            <xm:f>'\Users\deannah\Wyndham Testing\[Wyndham Destinations_TestCaseOverview_V3_Template.xlsx]TC1'!#REF!="Speak"</xm:f>
            <x14:dxf>
              <font>
                <b/>
                <i val="0"/>
                <color rgb="FFFF0000"/>
              </font>
            </x14:dxf>
          </x14:cfRule>
          <xm:sqref>C18</xm:sqref>
        </x14:conditionalFormatting>
        <x14:conditionalFormatting xmlns:xm="http://schemas.microsoft.com/office/excel/2006/main">
          <x14:cfRule type="expression" priority="1" id="{7461092C-60E0-4492-B670-C56C25412E9A}">
            <xm:f>'TC1'!#REF!="Dial"</xm:f>
            <x14:dxf>
              <font>
                <b/>
                <i val="0"/>
                <color rgb="FFFF0000"/>
              </font>
            </x14:dxf>
          </x14:cfRule>
          <x14:cfRule type="expression" priority="2" id="{C5AD8C96-FD9E-403C-AEB4-885733A71188}">
            <xm:f>'TC1'!#REF!="HANGUP"</xm:f>
            <x14:dxf>
              <font>
                <b/>
                <i val="0"/>
              </font>
            </x14:dxf>
          </x14:cfRule>
          <xm:sqref>C19</xm:sqref>
        </x14:conditionalFormatting>
        <x14:conditionalFormatting xmlns:xm="http://schemas.microsoft.com/office/excel/2006/main">
          <x14:cfRule type="expression" priority="3" id="{41B19F8F-72FF-4910-845A-466616F2A56F}">
            <xm:f>'TC1'!#REF!="Speak"</xm:f>
            <x14:dxf>
              <font>
                <b/>
                <i val="0"/>
                <color rgb="FFFF0000"/>
              </font>
            </x14:dxf>
          </x14:cfRule>
          <xm:sqref>C19</xm:sqref>
        </x14:conditionalFormatting>
      </x14:conditionalFormatting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dimension ref="A1:E39"/>
  <sheetViews>
    <sheetView topLeftCell="A3" zoomScaleNormal="100" workbookViewId="0">
      <selection activeCell="C21" sqref="C21"/>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TC28</v>
      </c>
    </row>
    <row r="3" spans="1:5">
      <c r="A3" s="100" t="s">
        <v>19</v>
      </c>
      <c r="B3" s="108">
        <f ca="1">VLOOKUP(B2,Table1[#All],2,FALSE)</f>
        <v>0</v>
      </c>
    </row>
    <row r="4" spans="1:5" ht="30">
      <c r="A4" s="109" t="s">
        <v>20</v>
      </c>
      <c r="B4" s="95" t="str">
        <f ca="1">VLOOKUP(B2,Table1[#All],4,FALSE)</f>
        <v>Autopay active</v>
      </c>
    </row>
    <row r="5" spans="1:5" ht="60">
      <c r="A5" s="100" t="s">
        <v>6</v>
      </c>
      <c r="B5" s="89" t="str">
        <f ca="1">VLOOKUP(B2,Table1[#All],3,FALSE)</f>
        <v>CallStart Main Menu/Pmt&amp;Stmt/Make Pmt/ serviceType=makePayment /ID Auth/ID Auth True, Finance exception code=Else,Autopay Active /Xfer</v>
      </c>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12</v>
      </c>
      <c r="C9" s="105" t="str">
        <f>VLOOKUP(Table257552526910134344464748495657585963[[#This Row],[PEG]],Table1016[#All],2,FALSE)</f>
        <v>CallID.wav Call ID &lt;CallID&gt;</v>
      </c>
      <c r="D9" s="145" t="s">
        <v>477</v>
      </c>
      <c r="E9" s="122" t="str">
        <f>VLOOKUP(Table257552526910134344464748495657585963[[#This Row],[PEG]],Table1016[#All],3,FALSE)</f>
        <v>TEST</v>
      </c>
    </row>
    <row r="10" spans="1:5" ht="30">
      <c r="A10" s="114">
        <v>3</v>
      </c>
      <c r="B10" s="110" t="s">
        <v>115</v>
      </c>
      <c r="C10" s="105" t="str">
        <f>VLOOKUP(Table257552526910134344464748495657585963[[#This Row],[PEG]],Table1016[#All],2,FALSE)</f>
        <v>0100.wav Thank you for calling Shell vacations Club, we are glad you called. Please have your account number available for faster service. [To continue in Spanish, press 9]</v>
      </c>
      <c r="D10" s="145">
        <v>100</v>
      </c>
      <c r="E10" s="122" t="str">
        <f>VLOOKUP(Table257552526910134344464748495657585963[[#This Row],[PEG]],Table1016[#All],3,FALSE)</f>
        <v>PLAY PROMPT</v>
      </c>
    </row>
    <row r="11" spans="1:5" ht="30">
      <c r="A11" s="114">
        <v>4</v>
      </c>
      <c r="B11" s="110" t="s">
        <v>115</v>
      </c>
      <c r="C11" s="105" t="str">
        <f>VLOOKUP(Table257552526910134344464748495657585963[[#This Row],[PEG]],Table1016[#All],2,FALSE)</f>
        <v>0110-1.wav Which would you like? You can say... reservations, payments &amp; statements, title &amp; ownership changes, or more options.</v>
      </c>
      <c r="D11" s="145">
        <v>110</v>
      </c>
      <c r="E11" s="122" t="str">
        <f>VLOOKUP(Table257552526910134344464748495657585963[[#This Row],[PEG]],Table1016[#All],3,FALSE)</f>
        <v>MENU PROMPT</v>
      </c>
    </row>
    <row r="12" spans="1:5">
      <c r="A12" s="114">
        <v>5</v>
      </c>
      <c r="B12" s="110" t="s">
        <v>124</v>
      </c>
      <c r="C12" s="158" t="s">
        <v>565</v>
      </c>
      <c r="D12" s="145"/>
      <c r="E12" s="122" t="e">
        <f>VLOOKUP(Table257552526910134344464748495657585963[[#This Row],[PEG]],Table1016[#All],3,FALSE)</f>
        <v>#N/A</v>
      </c>
    </row>
    <row r="13" spans="1:5" ht="30">
      <c r="A13" s="114">
        <v>6</v>
      </c>
      <c r="B13" s="110" t="s">
        <v>115</v>
      </c>
      <c r="C13" s="105" t="str">
        <f>VLOOKUP(Table257552526910134344464748495657585963[[#This Row],[PEG]],Table1016[#All],2,FALSE)</f>
        <v>400.wav You can say make a payment, check account status, request a document, or more options. Which would you like?</v>
      </c>
      <c r="D13" s="145">
        <v>400</v>
      </c>
      <c r="E13" s="122" t="str">
        <f>VLOOKUP(Table257552526910134344464748495657585963[[#This Row],[PEG]],Table1016[#All],3,FALSE)</f>
        <v>MENU PROMPT</v>
      </c>
    </row>
    <row r="14" spans="1:5">
      <c r="A14" s="114">
        <v>7</v>
      </c>
      <c r="B14" s="110" t="s">
        <v>124</v>
      </c>
      <c r="C14" s="151" t="s">
        <v>490</v>
      </c>
      <c r="D14" s="145"/>
      <c r="E14" s="122" t="e">
        <f>VLOOKUP(Table257552526910134344464748495657585963[[#This Row],[PEG]],Table1016[#All],3,FALSE)</f>
        <v>#N/A</v>
      </c>
    </row>
    <row r="15" spans="1:5">
      <c r="A15" s="114">
        <v>8</v>
      </c>
      <c r="B15" s="110" t="s">
        <v>115</v>
      </c>
      <c r="C15" s="105" t="str">
        <f>VLOOKUP(Table257552526910134344464748495657585963[[#This Row],[PEG]],Table1016[#All],2,FALSE)</f>
        <v>0200-1.wav To get started, what is your account number?</v>
      </c>
      <c r="D15" s="112">
        <v>200</v>
      </c>
      <c r="E15" s="122" t="str">
        <f>VLOOKUP(Table257552526910134344464748495657585963[[#This Row],[PEG]],Table1016[#All],3,FALSE)</f>
        <v>MENU PROMPT</v>
      </c>
    </row>
    <row r="16" spans="1:5">
      <c r="A16" s="114">
        <v>9</v>
      </c>
      <c r="B16" s="110" t="s">
        <v>114</v>
      </c>
      <c r="C16" s="151" t="s">
        <v>515</v>
      </c>
      <c r="D16" s="112"/>
      <c r="E16" s="122" t="e">
        <f>VLOOKUP(Table257552526910134344464748495657585963[[#This Row],[PEG]],Table1016[#All],3,FALSE)</f>
        <v>#N/A</v>
      </c>
    </row>
    <row r="17" spans="1:5">
      <c r="A17" s="114">
        <v>10</v>
      </c>
      <c r="B17" s="110" t="s">
        <v>115</v>
      </c>
      <c r="C17" s="105" t="str">
        <f>VLOOKUP(Table257552526910134344464748495657585963[[#This Row],[PEG]],Table1016[#All],2,FALSE)</f>
        <v>0210-1.wav And the date of birth for the primary owner?</v>
      </c>
      <c r="D17" s="113">
        <v>210</v>
      </c>
      <c r="E17" s="122" t="str">
        <f>VLOOKUP(Table257552526910134344464748495657585963[[#This Row],[PEG]],Table1016[#All],3,FALSE)</f>
        <v>MENU PROMPT</v>
      </c>
    </row>
    <row r="18" spans="1:5">
      <c r="A18" s="114">
        <v>11</v>
      </c>
      <c r="B18" s="110" t="s">
        <v>124</v>
      </c>
      <c r="C18" s="151" t="s">
        <v>524</v>
      </c>
      <c r="D18" s="113"/>
      <c r="E18" s="122" t="e">
        <f>VLOOKUP(Table257552526910134344464748495657585963[[#This Row],[PEG]],Table1016[#All],3,FALSE)</f>
        <v>#N/A</v>
      </c>
    </row>
    <row r="19" spans="1:5">
      <c r="A19" s="114">
        <v>12</v>
      </c>
      <c r="B19" s="110" t="s">
        <v>115</v>
      </c>
      <c r="C19" s="105" t="str">
        <f>VLOOKUP(Table257552526910134344464748495657585963[[#This Row],[PEG]],Table1016[#All],2,FALSE)</f>
        <v>0900.wav Please hold, while I connect you to a customer service representative.</v>
      </c>
      <c r="D19" s="113">
        <v>900</v>
      </c>
      <c r="E19" s="122" t="str">
        <f>VLOOKUP(Table257552526910134344464748495657585963[[#This Row],[PEG]],Table1016[#All],3,FALSE)</f>
        <v>PLAY PROMPT</v>
      </c>
    </row>
    <row r="20" spans="1:5">
      <c r="A20" s="114">
        <v>13</v>
      </c>
      <c r="B20" s="110" t="s">
        <v>115</v>
      </c>
      <c r="C20" s="105" t="str">
        <f>VLOOKUP(Table257552526910134344464748495657585963[[#This Row],[PEG]],Table1016[#All],2,FALSE)</f>
        <v>XferNbr.wav Transfer Number &lt;TransferNbr&gt;</v>
      </c>
      <c r="D20" s="113" t="s">
        <v>480</v>
      </c>
      <c r="E20" s="122" t="str">
        <f>VLOOKUP(Table257552526910134344464748495657585963[[#This Row],[PEG]],Table1016[#All],3,FALSE)</f>
        <v>TEST</v>
      </c>
    </row>
    <row r="21" spans="1:5">
      <c r="A21" s="114">
        <v>14</v>
      </c>
      <c r="B21" s="110" t="s">
        <v>13</v>
      </c>
      <c r="C21" s="17" t="s">
        <v>13</v>
      </c>
      <c r="D21" s="111"/>
      <c r="E21" s="31"/>
    </row>
    <row r="22" spans="1:5">
      <c r="C22" s="25"/>
      <c r="D22" s="107" t="s">
        <v>0</v>
      </c>
    </row>
    <row r="23" spans="1:5">
      <c r="C23" s="25"/>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6"/>
    </row>
    <row r="38" spans="3:3">
      <c r="C38" s="26"/>
    </row>
    <row r="39" spans="3:3">
      <c r="C39" s="26"/>
    </row>
  </sheetData>
  <mergeCells count="1">
    <mergeCell ref="A1:B1"/>
  </mergeCells>
  <conditionalFormatting sqref="B21">
    <cfRule type="containsText" dxfId="5878" priority="68" operator="containsText" text="Hear">
      <formula>NOT(ISERROR(SEARCH("Hear",B21)))</formula>
    </cfRule>
  </conditionalFormatting>
  <conditionalFormatting sqref="E21">
    <cfRule type="containsText" dxfId="5877" priority="66" operator="containsText" text="WEB SERVICE">
      <formula>NOT(ISERROR(SEARCH("WEB SERVICE",E21)))</formula>
    </cfRule>
    <cfRule type="containsText" dxfId="5876" priority="67" operator="containsText" text="DB">
      <formula>NOT(ISERROR(SEARCH("DB",E21)))</formula>
    </cfRule>
  </conditionalFormatting>
  <conditionalFormatting sqref="C21:C9978">
    <cfRule type="expression" dxfId="5875" priority="69">
      <formula>$B21="Dial"</formula>
    </cfRule>
    <cfRule type="expression" dxfId="5874" priority="71">
      <formula>$B21="HANGUP"</formula>
    </cfRule>
  </conditionalFormatting>
  <conditionalFormatting sqref="C21">
    <cfRule type="expression" dxfId="5873" priority="70">
      <formula>$B21="Speak"</formula>
    </cfRule>
  </conditionalFormatting>
  <conditionalFormatting sqref="B8:B20">
    <cfRule type="containsText" dxfId="5872" priority="7" operator="containsText" text="Hear">
      <formula>NOT(ISERROR(SEARCH("Hear",B8)))</formula>
    </cfRule>
  </conditionalFormatting>
  <hyperlinks>
    <hyperlink ref="A1" location="'Test Case Overview'!A1" display="Return to Test Case Overview" xr:uid="{00000000-0004-0000-1C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63" id="{F99010D4-D4A7-4521-8B22-4A1C873F1CC4}">
            <xm:f>'TC1'!$B8="Dial"</xm:f>
            <x14:dxf>
              <font>
                <b/>
                <i val="0"/>
                <color rgb="FFFF0000"/>
              </font>
            </x14:dxf>
          </x14:cfRule>
          <x14:cfRule type="expression" priority="65" id="{8488E80E-4763-4FFA-827D-ADF8B309387C}">
            <xm:f>'TC1'!$B8="HANGUP"</xm:f>
            <x14:dxf>
              <font>
                <b/>
                <i val="0"/>
              </font>
            </x14:dxf>
          </x14:cfRule>
          <xm:sqref>C8</xm:sqref>
        </x14:conditionalFormatting>
        <x14:conditionalFormatting xmlns:xm="http://schemas.microsoft.com/office/excel/2006/main">
          <x14:cfRule type="expression" priority="64" id="{929AE745-2F6F-4434-833C-2ED86F169A42}">
            <xm:f>'TC1'!$B8="Speak"</xm:f>
            <x14:dxf>
              <font>
                <b/>
                <i val="0"/>
                <color rgb="FFFF0000"/>
              </font>
            </x14:dxf>
          </x14:cfRule>
          <xm:sqref>C8</xm:sqref>
        </x14:conditionalFormatting>
        <x14:conditionalFormatting xmlns:xm="http://schemas.microsoft.com/office/excel/2006/main">
          <x14:cfRule type="containsText" priority="60" operator="containsText" text="WEB SERVICE" id="{C468DD53-7201-4AF6-8C9B-74E3A4CA6B5B}">
            <xm:f>NOT(ISERROR(SEARCH("WEB SERVICE",'TC1'!E10)))</xm:f>
            <x14:dxf>
              <font>
                <color rgb="FF9C0006"/>
              </font>
              <fill>
                <patternFill>
                  <bgColor rgb="FFFFC7CE"/>
                </patternFill>
              </fill>
            </x14:dxf>
          </x14:cfRule>
          <x14:cfRule type="containsText" priority="61" operator="containsText" text="DB" id="{77958F25-1FC0-4544-95D1-CBF15B01B00E}">
            <xm:f>NOT(ISERROR(SEARCH("DB",'TC1'!E10)))</xm:f>
            <x14:dxf>
              <font>
                <color rgb="FF006100"/>
              </font>
              <fill>
                <patternFill>
                  <bgColor rgb="FFC6EFCE"/>
                </patternFill>
              </fill>
            </x14:dxf>
          </x14:cfRule>
          <xm:sqref>E9:E12</xm:sqref>
        </x14:conditionalFormatting>
        <x14:conditionalFormatting xmlns:xm="http://schemas.microsoft.com/office/excel/2006/main">
          <x14:cfRule type="expression" priority="860" id="{F99010D4-D4A7-4521-8B22-4A1C873F1CC4}">
            <xm:f>'TC1'!#REF!="Dial"</xm:f>
            <x14:dxf>
              <font>
                <b/>
                <i val="0"/>
                <color rgb="FFFF0000"/>
              </font>
            </x14:dxf>
          </x14:cfRule>
          <x14:cfRule type="expression" priority="861" id="{8488E80E-4763-4FFA-827D-ADF8B309387C}">
            <xm:f>'TC1'!#REF!="HANGUP"</xm:f>
            <x14:dxf>
              <font>
                <b/>
                <i val="0"/>
              </font>
            </x14:dxf>
          </x14:cfRule>
          <xm:sqref>C13:C15 C17 C19:C20</xm:sqref>
        </x14:conditionalFormatting>
        <x14:conditionalFormatting xmlns:xm="http://schemas.microsoft.com/office/excel/2006/main">
          <x14:cfRule type="expression" priority="866" id="{929AE745-2F6F-4434-833C-2ED86F169A42}">
            <xm:f>'TC1'!#REF!="Speak"</xm:f>
            <x14:dxf>
              <font>
                <b/>
                <i val="0"/>
                <color rgb="FFFF0000"/>
              </font>
            </x14:dxf>
          </x14:cfRule>
          <xm:sqref>C13:C15 C17 C19:C20</xm:sqref>
        </x14:conditionalFormatting>
        <x14:conditionalFormatting xmlns:xm="http://schemas.microsoft.com/office/excel/2006/main">
          <x14:cfRule type="containsText" priority="872" operator="containsText" text="WEB SERVICE" id="{C468DD53-7201-4AF6-8C9B-74E3A4CA6B5B}">
            <xm:f>NOT(ISERROR(SEARCH("WEB SERVICE",'TC1'!#REF!)))</xm:f>
            <x14:dxf>
              <font>
                <color rgb="FF9C0006"/>
              </font>
              <fill>
                <patternFill>
                  <bgColor rgb="FFFFC7CE"/>
                </patternFill>
              </fill>
            </x14:dxf>
          </x14:cfRule>
          <x14:cfRule type="containsText" priority="873" operator="containsText" text="DB" id="{77958F25-1FC0-4544-95D1-CBF15B01B00E}">
            <xm:f>NOT(ISERROR(SEARCH("DB",'TC1'!#REF!)))</xm:f>
            <x14:dxf>
              <font>
                <color rgb="FF006100"/>
              </font>
              <fill>
                <patternFill>
                  <bgColor rgb="FFC6EFCE"/>
                </patternFill>
              </fill>
            </x14:dxf>
          </x14:cfRule>
          <xm:sqref>E13:E20</xm:sqref>
        </x14:conditionalFormatting>
        <x14:conditionalFormatting xmlns:xm="http://schemas.microsoft.com/office/excel/2006/main">
          <x14:cfRule type="expression" priority="3629" id="{F99010D4-D4A7-4521-8B22-4A1C873F1CC4}">
            <xm:f>'TC1'!$B10="Dial"</xm:f>
            <x14:dxf>
              <font>
                <b/>
                <i val="0"/>
                <color rgb="FFFF0000"/>
              </font>
            </x14:dxf>
          </x14:cfRule>
          <x14:cfRule type="expression" priority="3630" id="{8488E80E-4763-4FFA-827D-ADF8B309387C}">
            <xm:f>'TC1'!$B10="HANGUP"</xm:f>
            <x14:dxf>
              <font>
                <b/>
                <i val="0"/>
              </font>
            </x14:dxf>
          </x14:cfRule>
          <xm:sqref>C9:C12</xm:sqref>
        </x14:conditionalFormatting>
        <x14:conditionalFormatting xmlns:xm="http://schemas.microsoft.com/office/excel/2006/main">
          <x14:cfRule type="expression" priority="3632" id="{929AE745-2F6F-4434-833C-2ED86F169A42}">
            <xm:f>'TC1'!$B10="Speak"</xm:f>
            <x14:dxf>
              <font>
                <b/>
                <i val="0"/>
                <color rgb="FFFF0000"/>
              </font>
            </x14:dxf>
          </x14:cfRule>
          <xm:sqref>C9:C12</xm:sqref>
        </x14:conditionalFormatting>
        <x14:conditionalFormatting xmlns:xm="http://schemas.microsoft.com/office/excel/2006/main">
          <x14:cfRule type="expression" priority="4" id="{B9D85791-C877-4658-A73B-7EC4FD813D24}">
            <xm:f>'\Users\deannah\Wyndham Testing\[Wyndham Destinations_TestCaseOverview_V3_Template.xlsx]TC1'!#REF!="HANGUP"</xm:f>
            <x14:dxf>
              <font>
                <b/>
                <i val="0"/>
              </font>
            </x14:dxf>
          </x14:cfRule>
          <x14:cfRule type="expression" priority="5" id="{66C11F4A-D20C-4AE4-A032-572635578BC3}">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6" id="{7ABCD1BE-98D0-4831-B7FA-3CE2C0B7492D}">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1" id="{2CFCBA19-A79A-4CD1-8138-6BA7B88C422F}">
            <xm:f>'\Users\deannah\Wyndham Testing\[Wyndham Destinations_TestCaseOverview_V3_Template.xlsx]TC1'!#REF!="HANGUP"</xm:f>
            <x14:dxf>
              <font>
                <b/>
                <i val="0"/>
              </font>
            </x14:dxf>
          </x14:cfRule>
          <x14:cfRule type="expression" priority="2" id="{46C9E57C-5CC6-4759-8553-29CD0FACAE36}">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3" id="{60FEE23B-860A-4BBB-92D6-72E4CB1DFC59}">
            <xm:f>'\Users\deannah\Wyndham Testing\[Wyndham Destinations_TestCaseOverview_V3_Template.xlsx]TC1'!#REF!="Speak"</xm:f>
            <x14:dxf>
              <font>
                <b/>
                <i val="0"/>
                <color rgb="FFFF0000"/>
              </font>
            </x14:dxf>
          </x14:cfRule>
          <xm:sqref>C18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E33"/>
  <sheetViews>
    <sheetView zoomScaleNormal="100" workbookViewId="0">
      <selection activeCell="A8" sqref="A8:A15"/>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TC2</v>
      </c>
    </row>
    <row r="3" spans="1:5">
      <c r="A3" s="100" t="s">
        <v>19</v>
      </c>
      <c r="B3" s="108">
        <f ca="1">VLOOKUP(B2,Table1[#All],2,FALSE)</f>
        <v>0</v>
      </c>
    </row>
    <row r="4" spans="1:5" ht="30">
      <c r="A4" s="109" t="s">
        <v>20</v>
      </c>
      <c r="B4" s="95">
        <f ca="1">VLOOKUP(B2,Table1[#All],4,FALSE)</f>
        <v>0</v>
      </c>
    </row>
    <row r="5" spans="1:5">
      <c r="A5" s="100" t="s">
        <v>6</v>
      </c>
      <c r="B5" s="89" t="str">
        <f ca="1">VLOOKUP(B2,Table1[#All],3,FALSE)</f>
        <v>CallStart Main Menu Reservations to Xfer</v>
      </c>
    </row>
    <row r="7" spans="1:5" ht="15.75">
      <c r="A7" s="96" t="s">
        <v>7</v>
      </c>
      <c r="B7" s="97" t="s">
        <v>8</v>
      </c>
      <c r="C7" s="98" t="s">
        <v>9</v>
      </c>
      <c r="D7" s="98" t="s">
        <v>14</v>
      </c>
      <c r="E7" s="99" t="s">
        <v>10</v>
      </c>
    </row>
    <row r="8" spans="1:5" s="93" customFormat="1">
      <c r="A8" s="114">
        <v>1</v>
      </c>
      <c r="B8" s="110" t="s">
        <v>114</v>
      </c>
      <c r="C8" s="124" t="s">
        <v>125</v>
      </c>
      <c r="D8" s="125"/>
      <c r="E8" s="122" t="s">
        <v>11</v>
      </c>
    </row>
    <row r="9" spans="1:5" s="93" customFormat="1">
      <c r="A9" s="114">
        <v>2</v>
      </c>
      <c r="B9" s="110" t="s">
        <v>470</v>
      </c>
      <c r="C9" s="146" t="str">
        <f>VLOOKUP(Table25755252670[[#This Row],[PEG]],Table1016[],2,FALSE)</f>
        <v>CallID.wav Call ID &lt;CallID&gt;</v>
      </c>
      <c r="D9" s="147" t="s">
        <v>477</v>
      </c>
      <c r="E9" s="122"/>
    </row>
    <row r="10" spans="1:5" s="93" customFormat="1" ht="30">
      <c r="A10" s="114">
        <v>3</v>
      </c>
      <c r="B10" s="110" t="s">
        <v>115</v>
      </c>
      <c r="C10" s="105" t="str">
        <f>VLOOKUP(Table25755252670[[#This Row],[PEG]],Table1016[#All],2,FALSE)</f>
        <v>0100.wav Thank you for calling Shell vacations Club, we are glad you called. Please have your account number available for faster service. [To continue in Spanish, press 9]</v>
      </c>
      <c r="D10" s="126">
        <v>100</v>
      </c>
      <c r="E10" s="122" t="str">
        <f>VLOOKUP(Table25755252670[[#This Row],[PEG]],Table1016[#All],3,FALSE)</f>
        <v>PLAY PROMPT</v>
      </c>
    </row>
    <row r="11" spans="1:5" s="93" customFormat="1" ht="30">
      <c r="A11" s="114">
        <v>4</v>
      </c>
      <c r="B11" s="110" t="s">
        <v>115</v>
      </c>
      <c r="C11" s="105" t="str">
        <f>VLOOKUP(Table25755252670[[#This Row],[PEG]],Table1016[#All],2,FALSE)</f>
        <v>0110-1.wav Which would you like? You can say... reservations, payments &amp; statements, title &amp; ownership changes, or more options.</v>
      </c>
      <c r="D11" s="126">
        <v>110</v>
      </c>
      <c r="E11" s="122" t="str">
        <f>VLOOKUP(Table25755252670[[#This Row],[PEG]],Table1016[#All],3,FALSE)</f>
        <v>MENU PROMPT</v>
      </c>
    </row>
    <row r="12" spans="1:5" s="93" customFormat="1">
      <c r="A12" s="114">
        <v>5</v>
      </c>
      <c r="B12" s="110" t="s">
        <v>124</v>
      </c>
      <c r="C12" s="105" t="s">
        <v>467</v>
      </c>
      <c r="D12" s="126"/>
      <c r="E12" s="122" t="e">
        <f>VLOOKUP(Table25755252670[[#This Row],[PEG]],Table1016[#All],3,FALSE)</f>
        <v>#N/A</v>
      </c>
    </row>
    <row r="13" spans="1:5" s="93" customFormat="1">
      <c r="A13" s="114">
        <v>6</v>
      </c>
      <c r="B13" s="110" t="s">
        <v>115</v>
      </c>
      <c r="C13" s="105" t="str">
        <f>VLOOKUP(Table25755252670[[#This Row],[PEG]],Table1016[#All],2,FALSE)</f>
        <v>0900.wav Please hold, while I connect you to a customer service representative.</v>
      </c>
      <c r="D13" s="126">
        <v>900</v>
      </c>
      <c r="E13" s="122" t="str">
        <f>VLOOKUP(Table25755252670[[#This Row],[PEG]],Table1016[#All],3,FALSE)</f>
        <v>PLAY PROMPT</v>
      </c>
    </row>
    <row r="14" spans="1:5">
      <c r="A14" s="114">
        <v>7</v>
      </c>
      <c r="B14" s="110" t="s">
        <v>115</v>
      </c>
      <c r="C14" s="127" t="str">
        <f>VLOOKUP(Table25755252670[[#This Row],[PEG]],Table1016[#All],2,FALSE)</f>
        <v>XferNbr.wav Transfer Number &lt;TransferNbr&gt;</v>
      </c>
      <c r="D14" s="33" t="s">
        <v>480</v>
      </c>
      <c r="E14" s="122" t="str">
        <f>VLOOKUP(Table25755252670[[#This Row],[PEG]],Table1016[#All],3,FALSE)</f>
        <v>TEST</v>
      </c>
    </row>
    <row r="15" spans="1:5">
      <c r="A15" s="114">
        <v>8</v>
      </c>
      <c r="B15" s="110" t="s">
        <v>13</v>
      </c>
      <c r="C15" s="105" t="s">
        <v>13</v>
      </c>
      <c r="D15" s="33"/>
      <c r="E15" s="31"/>
    </row>
    <row r="16" spans="1:5">
      <c r="C16" s="25"/>
      <c r="D16" s="107" t="s">
        <v>0</v>
      </c>
    </row>
    <row r="17" spans="3:3">
      <c r="C17" s="25"/>
    </row>
    <row r="18" spans="3:3">
      <c r="C18" s="25"/>
    </row>
    <row r="19" spans="3:3">
      <c r="C19" s="25"/>
    </row>
    <row r="20" spans="3:3">
      <c r="C20" s="25"/>
    </row>
    <row r="21" spans="3:3">
      <c r="C21" s="25"/>
    </row>
    <row r="22" spans="3:3">
      <c r="C22" s="25"/>
    </row>
    <row r="23" spans="3:3">
      <c r="C23" s="25"/>
    </row>
    <row r="24" spans="3:3">
      <c r="C24" s="25"/>
    </row>
    <row r="25" spans="3:3">
      <c r="C25" s="25"/>
    </row>
    <row r="26" spans="3:3">
      <c r="C26" s="25"/>
    </row>
    <row r="27" spans="3:3">
      <c r="C27" s="25"/>
    </row>
    <row r="28" spans="3:3">
      <c r="C28" s="25"/>
    </row>
    <row r="29" spans="3:3">
      <c r="C29" s="25"/>
    </row>
    <row r="30" spans="3:3">
      <c r="C30" s="25"/>
    </row>
    <row r="31" spans="3:3">
      <c r="C31" s="26"/>
    </row>
    <row r="32" spans="3:3">
      <c r="C32" s="26"/>
    </row>
    <row r="33" spans="3:3">
      <c r="C33" s="26"/>
    </row>
  </sheetData>
  <mergeCells count="1">
    <mergeCell ref="A1:B1"/>
  </mergeCells>
  <conditionalFormatting sqref="E10:E15">
    <cfRule type="containsText" dxfId="6648" priority="40" operator="containsText" text="WEB SERVICE">
      <formula>NOT(ISERROR(SEARCH("WEB SERVICE",E10)))</formula>
    </cfRule>
    <cfRule type="containsText" dxfId="6647" priority="41" operator="containsText" text="DB">
      <formula>NOT(ISERROR(SEARCH("DB",E10)))</formula>
    </cfRule>
  </conditionalFormatting>
  <conditionalFormatting sqref="C10:C13 C15:C9972">
    <cfRule type="expression" dxfId="6646" priority="42">
      <formula>$B10="Dial"</formula>
    </cfRule>
    <cfRule type="expression" dxfId="6645" priority="44">
      <formula>$B10="HANGUP"</formula>
    </cfRule>
  </conditionalFormatting>
  <conditionalFormatting sqref="C8:C9">
    <cfRule type="expression" dxfId="6644" priority="1">
      <formula>$B8="Dial"</formula>
    </cfRule>
    <cfRule type="expression" dxfId="6643" priority="2">
      <formula>$B8="HANGUP"</formula>
    </cfRule>
  </conditionalFormatting>
  <conditionalFormatting sqref="B8:B15">
    <cfRule type="containsText" dxfId="6642" priority="5" operator="containsText" text="Hear">
      <formula>NOT(ISERROR(SEARCH("Hear",B8)))</formula>
    </cfRule>
  </conditionalFormatting>
  <conditionalFormatting sqref="C10:C13 C15">
    <cfRule type="expression" dxfId="6641" priority="7">
      <formula>$B10="Speak"</formula>
    </cfRule>
  </conditionalFormatting>
  <conditionalFormatting sqref="C14">
    <cfRule type="expression" dxfId="6640" priority="3">
      <formula>$B14="Dial"</formula>
    </cfRule>
    <cfRule type="expression" dxfId="6639" priority="4">
      <formula>$B14="HANGUP"</formula>
    </cfRule>
  </conditionalFormatting>
  <hyperlinks>
    <hyperlink ref="A1" location="'Test Case Overview'!A1" display="Return to Test Case Overview" xr:uid="{00000000-0004-0000-0200-000000000000}"/>
  </hyperlinks>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dimension ref="A1:E39"/>
  <sheetViews>
    <sheetView zoomScaleNormal="100" workbookViewId="0">
      <selection activeCell="D9" sqref="D9:D18"/>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TC29</v>
      </c>
    </row>
    <row r="3" spans="1:5">
      <c r="A3" s="100" t="s">
        <v>19</v>
      </c>
      <c r="B3" s="108">
        <f ca="1">VLOOKUP(B2,Table1[#All],2,FALSE)</f>
        <v>0</v>
      </c>
    </row>
    <row r="4" spans="1:5" ht="30">
      <c r="A4" s="109" t="s">
        <v>20</v>
      </c>
      <c r="B4" s="95" t="str">
        <f ca="1">VLOOKUP(B2,Table1[#All],4,FALSE)</f>
        <v>More than 3 contracts</v>
      </c>
    </row>
    <row r="5" spans="1:5" ht="45">
      <c r="A5" s="100" t="s">
        <v>6</v>
      </c>
      <c r="B5" s="89" t="str">
        <f ca="1">VLOOKUP(B2,Table1[#All],3,FALSE)</f>
        <v>CallStart Main Menu/Pmts&amp;Stmts/check status/ serviceType=check Status/ID Auth/ID Auth True,Finance Exception code=else/Xfer</v>
      </c>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VLOOKUP(Table25755252691013434446474849565758596364[[#This Row],[PEG]],Table1016[#All],2,FALSE)</f>
        <v>CallID.wav Call ID &lt;CallID&gt;</v>
      </c>
      <c r="D9" s="145" t="s">
        <v>477</v>
      </c>
      <c r="E9" s="122" t="str">
        <f>VLOOKUP(Table25755252691013434446474849565758596364[[#This Row],[PEG]],Table1016[#All],3,FALSE)</f>
        <v>TEST</v>
      </c>
    </row>
    <row r="10" spans="1:5" ht="30">
      <c r="A10" s="114">
        <v>3</v>
      </c>
      <c r="B10" s="110" t="s">
        <v>115</v>
      </c>
      <c r="C10" s="156" t="str">
        <f>VLOOKUP(Table25755252691013434446474849565758596364[[#This Row],[PEG]],Table1016[#All],2,FALSE)</f>
        <v>0100.wav Thank you for calling Shell vacations Club, we are glad you called. Please have your account number available for faster service. [To continue in Spanish, press 9]</v>
      </c>
      <c r="D10" s="145">
        <v>100</v>
      </c>
      <c r="E10" s="122" t="str">
        <f>VLOOKUP(Table25755252691013434446474849565758596364[[#This Row],[PEG]],Table1016[#All],3,FALSE)</f>
        <v>PLAY PROMPT</v>
      </c>
    </row>
    <row r="11" spans="1:5" ht="30">
      <c r="A11" s="114">
        <v>4</v>
      </c>
      <c r="B11" s="110" t="s">
        <v>115</v>
      </c>
      <c r="C11" s="105" t="str">
        <f>VLOOKUP(Table25755252691013434446474849565758596364[[#This Row],[PEG]],Table1016[#All],2,FALSE)</f>
        <v>0110-1.wav Which would you like? You can say... reservations, payments &amp; statements, title &amp; ownership changes, or more options.</v>
      </c>
      <c r="D11" s="145">
        <v>110</v>
      </c>
      <c r="E11" s="122" t="str">
        <f>VLOOKUP(Table25755252691013434446474849565758596364[[#This Row],[PEG]],Table1016[#All],3,FALSE)</f>
        <v>MENU PROMPT</v>
      </c>
    </row>
    <row r="12" spans="1:5">
      <c r="A12" s="114">
        <v>5</v>
      </c>
      <c r="B12" s="110" t="s">
        <v>124</v>
      </c>
      <c r="C12" s="158" t="s">
        <v>565</v>
      </c>
      <c r="D12" s="145"/>
      <c r="E12" s="122" t="e">
        <f>VLOOKUP(Table25755252691013434446474849565758596364[[#This Row],[PEG]],Table1016[#All],3,FALSE)</f>
        <v>#N/A</v>
      </c>
    </row>
    <row r="13" spans="1:5" ht="30">
      <c r="A13" s="114">
        <v>6</v>
      </c>
      <c r="B13" s="110" t="s">
        <v>115</v>
      </c>
      <c r="C13" s="105" t="str">
        <f>VLOOKUP(Table25755252691013434446474849565758596364[[#This Row],[PEG]],Table1016[#All],2,FALSE)</f>
        <v>400.wav You can say make a payment, check account status, request a document, or more options. Which would you like?</v>
      </c>
      <c r="D13" s="145">
        <v>400</v>
      </c>
      <c r="E13" s="122" t="str">
        <f>VLOOKUP(Table25755252691013434446474849565758596364[[#This Row],[PEG]],Table1016[#All],3,FALSE)</f>
        <v>MENU PROMPT</v>
      </c>
    </row>
    <row r="14" spans="1:5">
      <c r="A14" s="114">
        <v>7</v>
      </c>
      <c r="B14" s="110" t="s">
        <v>124</v>
      </c>
      <c r="C14" s="151" t="s">
        <v>495</v>
      </c>
      <c r="D14" s="125"/>
      <c r="E14" s="122" t="e">
        <f>VLOOKUP(Table25755252691013434446474849565758596364[[#This Row],[PEG]],Table1016[#All],3,FALSE)</f>
        <v>#N/A</v>
      </c>
    </row>
    <row r="15" spans="1:5">
      <c r="A15" s="114">
        <v>8</v>
      </c>
      <c r="B15" s="110" t="s">
        <v>115</v>
      </c>
      <c r="C15" s="105" t="str">
        <f>VLOOKUP(Table25755252691013434446474849565758596364[[#This Row],[PEG]],Table1016[#All],2,FALSE)</f>
        <v>0200-1.wav To get started, what is your account number?</v>
      </c>
      <c r="D15" s="112">
        <v>200</v>
      </c>
      <c r="E15" s="122" t="str">
        <f>VLOOKUP(Table25755252691013434446474849565758596364[[#This Row],[PEG]],Table1016[#All],3,FALSE)</f>
        <v>MENU PROMPT</v>
      </c>
    </row>
    <row r="16" spans="1:5">
      <c r="A16" s="114">
        <v>9</v>
      </c>
      <c r="B16" s="110" t="s">
        <v>124</v>
      </c>
      <c r="C16" s="151" t="s">
        <v>515</v>
      </c>
      <c r="D16" s="112"/>
      <c r="E16" s="122" t="e">
        <f>VLOOKUP(Table25755252691013434446474849565758596364[[#This Row],[PEG]],Table1016[#All],3,FALSE)</f>
        <v>#N/A</v>
      </c>
    </row>
    <row r="17" spans="1:5">
      <c r="A17" s="114">
        <v>10</v>
      </c>
      <c r="B17" s="110" t="s">
        <v>12</v>
      </c>
      <c r="C17" s="105" t="str">
        <f>VLOOKUP(Table25755252691013434446474849565758596364[[#This Row],[PEG]],Table1016[#All],2,FALSE)</f>
        <v>0210-1.wav And the date of birth for the primary owner?</v>
      </c>
      <c r="D17" s="113">
        <v>210</v>
      </c>
      <c r="E17" s="122" t="str">
        <f>VLOOKUP(Table25755252691013434446474849565758596364[[#This Row],[PEG]],Table1016[#All],3,FALSE)</f>
        <v>MENU PROMPT</v>
      </c>
    </row>
    <row r="18" spans="1:5">
      <c r="A18" s="114">
        <v>11</v>
      </c>
      <c r="B18" s="110" t="s">
        <v>124</v>
      </c>
      <c r="C18" s="151" t="s">
        <v>524</v>
      </c>
      <c r="D18" s="113"/>
      <c r="E18" s="122" t="e">
        <f>VLOOKUP(Table25755252691013434446474849565758596364[[#This Row],[PEG]],Table1016[#All],3,FALSE)</f>
        <v>#N/A</v>
      </c>
    </row>
    <row r="19" spans="1:5">
      <c r="A19" s="114">
        <v>12</v>
      </c>
      <c r="B19" s="110" t="s">
        <v>115</v>
      </c>
      <c r="C19" s="105" t="str">
        <f>VLOOKUP(Table25755252691013434446474849565758596364[[#This Row],[PEG]],Table1016[#All],2,FALSE)</f>
        <v>0900.wav Please hold, while I connect you to a customer service representative.</v>
      </c>
      <c r="D19" s="113">
        <v>900</v>
      </c>
      <c r="E19" s="122" t="str">
        <f>VLOOKUP(Table25755252691013434446474849565758596364[[#This Row],[PEG]],Table1016[#All],3,FALSE)</f>
        <v>PLAY PROMPT</v>
      </c>
    </row>
    <row r="20" spans="1:5">
      <c r="A20" s="114">
        <v>13</v>
      </c>
      <c r="B20" s="110" t="s">
        <v>115</v>
      </c>
      <c r="C20" s="105" t="str">
        <f>VLOOKUP(Table25755252691013434446474849565758596364[[#This Row],[PEG]],Table1016[#All],2,FALSE)</f>
        <v>XferNbr.wav Transfer Number &lt;TransferNbr&gt;</v>
      </c>
      <c r="D20" s="113" t="s">
        <v>480</v>
      </c>
      <c r="E20" s="122" t="str">
        <f>VLOOKUP(Table25755252691013434446474849565758596364[[#This Row],[PEG]],Table1016[#All],3,FALSE)</f>
        <v>TEST</v>
      </c>
    </row>
    <row r="21" spans="1:5">
      <c r="A21" s="114">
        <v>14</v>
      </c>
      <c r="B21" s="110" t="s">
        <v>13</v>
      </c>
      <c r="C21" s="17" t="s">
        <v>13</v>
      </c>
      <c r="D21" s="111"/>
      <c r="E21" s="31"/>
    </row>
    <row r="22" spans="1:5">
      <c r="C22" s="25"/>
      <c r="D22" s="107" t="s">
        <v>0</v>
      </c>
    </row>
    <row r="23" spans="1:5">
      <c r="C23" s="25"/>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6"/>
    </row>
    <row r="38" spans="3:3">
      <c r="C38" s="26"/>
    </row>
    <row r="39" spans="3:3">
      <c r="C39" s="26"/>
    </row>
  </sheetData>
  <mergeCells count="1">
    <mergeCell ref="A1:B1"/>
  </mergeCells>
  <conditionalFormatting sqref="B21">
    <cfRule type="containsText" dxfId="5843" priority="44" operator="containsText" text="Hear">
      <formula>NOT(ISERROR(SEARCH("Hear",B21)))</formula>
    </cfRule>
  </conditionalFormatting>
  <conditionalFormatting sqref="E21">
    <cfRule type="containsText" dxfId="5842" priority="42" operator="containsText" text="WEB SERVICE">
      <formula>NOT(ISERROR(SEARCH("WEB SERVICE",E21)))</formula>
    </cfRule>
    <cfRule type="containsText" dxfId="5841" priority="43" operator="containsText" text="DB">
      <formula>NOT(ISERROR(SEARCH("DB",E21)))</formula>
    </cfRule>
  </conditionalFormatting>
  <conditionalFormatting sqref="C21:C9978">
    <cfRule type="expression" dxfId="5840" priority="45">
      <formula>$B21="Dial"</formula>
    </cfRule>
    <cfRule type="expression" dxfId="5839" priority="47">
      <formula>$B21="HANGUP"</formula>
    </cfRule>
  </conditionalFormatting>
  <conditionalFormatting sqref="C21">
    <cfRule type="expression" dxfId="5838" priority="46">
      <formula>$B21="Speak"</formula>
    </cfRule>
  </conditionalFormatting>
  <conditionalFormatting sqref="B8:B20">
    <cfRule type="containsText" dxfId="5837" priority="7" operator="containsText" text="Hear">
      <formula>NOT(ISERROR(SEARCH("Hear",B8)))</formula>
    </cfRule>
  </conditionalFormatting>
  <hyperlinks>
    <hyperlink ref="A1" location="'Test Case Overview'!A1" display="Return to Test Case Overview" xr:uid="{00000000-0004-0000-1D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39" id="{D4B3435F-7F2A-49AA-9D32-FCA09672C52E}">
            <xm:f>'TC1'!$B8="Dial"</xm:f>
            <x14:dxf>
              <font>
                <b/>
                <i val="0"/>
                <color rgb="FFFF0000"/>
              </font>
            </x14:dxf>
          </x14:cfRule>
          <x14:cfRule type="expression" priority="41" id="{3C9C3C5D-7985-4A31-AF09-4567D4EFE9EF}">
            <xm:f>'TC1'!$B8="HANGUP"</xm:f>
            <x14:dxf>
              <font>
                <b/>
                <i val="0"/>
              </font>
            </x14:dxf>
          </x14:cfRule>
          <xm:sqref>C8</xm:sqref>
        </x14:conditionalFormatting>
        <x14:conditionalFormatting xmlns:xm="http://schemas.microsoft.com/office/excel/2006/main">
          <x14:cfRule type="expression" priority="40" id="{55BA46FC-F0B3-4471-AEFC-809EEDD80EB2}">
            <xm:f>'TC1'!$B8="Speak"</xm:f>
            <x14:dxf>
              <font>
                <b/>
                <i val="0"/>
                <color rgb="FFFF0000"/>
              </font>
            </x14:dxf>
          </x14:cfRule>
          <xm:sqref>C8</xm:sqref>
        </x14:conditionalFormatting>
        <x14:conditionalFormatting xmlns:xm="http://schemas.microsoft.com/office/excel/2006/main">
          <x14:cfRule type="containsText" priority="36" operator="containsText" text="WEB SERVICE" id="{23FE139E-FEE7-44CC-8127-B9DD8F6529A5}">
            <xm:f>NOT(ISERROR(SEARCH("WEB SERVICE",'TC1'!E10)))</xm:f>
            <x14:dxf>
              <font>
                <color rgb="FF9C0006"/>
              </font>
              <fill>
                <patternFill>
                  <bgColor rgb="FFFFC7CE"/>
                </patternFill>
              </fill>
            </x14:dxf>
          </x14:cfRule>
          <x14:cfRule type="containsText" priority="37" operator="containsText" text="DB" id="{0D580982-00D3-4D6C-B65E-828DFE263F1C}">
            <xm:f>NOT(ISERROR(SEARCH("DB",'TC1'!E10)))</xm:f>
            <x14:dxf>
              <font>
                <color rgb="FF006100"/>
              </font>
              <fill>
                <patternFill>
                  <bgColor rgb="FFC6EFCE"/>
                </patternFill>
              </fill>
            </x14:dxf>
          </x14:cfRule>
          <xm:sqref>E9:E12</xm:sqref>
        </x14:conditionalFormatting>
        <x14:conditionalFormatting xmlns:xm="http://schemas.microsoft.com/office/excel/2006/main">
          <x14:cfRule type="expression" priority="880" id="{D4B3435F-7F2A-49AA-9D32-FCA09672C52E}">
            <xm:f>'TC1'!#REF!="Dial"</xm:f>
            <x14:dxf>
              <font>
                <b/>
                <i val="0"/>
                <color rgb="FFFF0000"/>
              </font>
            </x14:dxf>
          </x14:cfRule>
          <x14:cfRule type="expression" priority="881" id="{3C9C3C5D-7985-4A31-AF09-4567D4EFE9EF}">
            <xm:f>'TC1'!#REF!="HANGUP"</xm:f>
            <x14:dxf>
              <font>
                <b/>
                <i val="0"/>
              </font>
            </x14:dxf>
          </x14:cfRule>
          <xm:sqref>C13:C15 C17 C19:C20</xm:sqref>
        </x14:conditionalFormatting>
        <x14:conditionalFormatting xmlns:xm="http://schemas.microsoft.com/office/excel/2006/main">
          <x14:cfRule type="expression" priority="886" id="{55BA46FC-F0B3-4471-AEFC-809EEDD80EB2}">
            <xm:f>'TC1'!#REF!="Speak"</xm:f>
            <x14:dxf>
              <font>
                <b/>
                <i val="0"/>
                <color rgb="FFFF0000"/>
              </font>
            </x14:dxf>
          </x14:cfRule>
          <xm:sqref>C13:C15 C17 C19:C20</xm:sqref>
        </x14:conditionalFormatting>
        <x14:conditionalFormatting xmlns:xm="http://schemas.microsoft.com/office/excel/2006/main">
          <x14:cfRule type="containsText" priority="892" operator="containsText" text="WEB SERVICE" id="{23FE139E-FEE7-44CC-8127-B9DD8F6529A5}">
            <xm:f>NOT(ISERROR(SEARCH("WEB SERVICE",'TC1'!#REF!)))</xm:f>
            <x14:dxf>
              <font>
                <color rgb="FF9C0006"/>
              </font>
              <fill>
                <patternFill>
                  <bgColor rgb="FFFFC7CE"/>
                </patternFill>
              </fill>
            </x14:dxf>
          </x14:cfRule>
          <x14:cfRule type="containsText" priority="893" operator="containsText" text="DB" id="{0D580982-00D3-4D6C-B65E-828DFE263F1C}">
            <xm:f>NOT(ISERROR(SEARCH("DB",'TC1'!#REF!)))</xm:f>
            <x14:dxf>
              <font>
                <color rgb="FF006100"/>
              </font>
              <fill>
                <patternFill>
                  <bgColor rgb="FFC6EFCE"/>
                </patternFill>
              </fill>
            </x14:dxf>
          </x14:cfRule>
          <xm:sqref>E13:E20</xm:sqref>
        </x14:conditionalFormatting>
        <x14:conditionalFormatting xmlns:xm="http://schemas.microsoft.com/office/excel/2006/main">
          <x14:cfRule type="expression" priority="3637" id="{D4B3435F-7F2A-49AA-9D32-FCA09672C52E}">
            <xm:f>'TC1'!$B10="Dial"</xm:f>
            <x14:dxf>
              <font>
                <b/>
                <i val="0"/>
                <color rgb="FFFF0000"/>
              </font>
            </x14:dxf>
          </x14:cfRule>
          <x14:cfRule type="expression" priority="3638" id="{3C9C3C5D-7985-4A31-AF09-4567D4EFE9EF}">
            <xm:f>'TC1'!$B10="HANGUP"</xm:f>
            <x14:dxf>
              <font>
                <b/>
                <i val="0"/>
              </font>
            </x14:dxf>
          </x14:cfRule>
          <xm:sqref>C9:C12</xm:sqref>
        </x14:conditionalFormatting>
        <x14:conditionalFormatting xmlns:xm="http://schemas.microsoft.com/office/excel/2006/main">
          <x14:cfRule type="expression" priority="3640" id="{55BA46FC-F0B3-4471-AEFC-809EEDD80EB2}">
            <xm:f>'TC1'!$B10="Speak"</xm:f>
            <x14:dxf>
              <font>
                <b/>
                <i val="0"/>
                <color rgb="FFFF0000"/>
              </font>
            </x14:dxf>
          </x14:cfRule>
          <xm:sqref>C9:C12</xm:sqref>
        </x14:conditionalFormatting>
        <x14:conditionalFormatting xmlns:xm="http://schemas.microsoft.com/office/excel/2006/main">
          <x14:cfRule type="expression" priority="4" id="{C9A442C4-761E-48B8-8CCE-91E0E215BDF4}">
            <xm:f>'\Users\deannah\Wyndham Testing\[Wyndham Destinations_TestCaseOverview_V3_Template.xlsx]TC1'!#REF!="HANGUP"</xm:f>
            <x14:dxf>
              <font>
                <b/>
                <i val="0"/>
              </font>
            </x14:dxf>
          </x14:cfRule>
          <x14:cfRule type="expression" priority="5" id="{9024571F-E961-42D3-833C-449D5A1589DA}">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6" id="{78793753-CF98-447B-B649-C526DF635CA3}">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1" id="{4873BC38-86AA-4341-8F1C-4AB7C5378DAC}">
            <xm:f>'\Users\deannah\Wyndham Testing\[Wyndham Destinations_TestCaseOverview_V3_Template.xlsx]TC1'!#REF!="HANGUP"</xm:f>
            <x14:dxf>
              <font>
                <b/>
                <i val="0"/>
              </font>
            </x14:dxf>
          </x14:cfRule>
          <x14:cfRule type="expression" priority="2" id="{4CDC7DB9-7B28-4705-9D7A-0A9352295EE1}">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3" id="{500055C3-B5A2-48A6-AB1D-CDD207E59FDB}">
            <xm:f>'\Users\deannah\Wyndham Testing\[Wyndham Destinations_TestCaseOverview_V3_Template.xlsx]TC1'!#REF!="Speak"</xm:f>
            <x14:dxf>
              <font>
                <b/>
                <i val="0"/>
                <color rgb="FFFF0000"/>
              </font>
            </x14:dxf>
          </x14:cfRule>
          <xm:sqref>C18</xm:sqref>
        </x14:conditionalFormatting>
      </x14:conditionalFormatting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dimension ref="A1:E41"/>
  <sheetViews>
    <sheetView zoomScaleNormal="100" workbookViewId="0">
      <selection sqref="A1:B1"/>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TC30</v>
      </c>
    </row>
    <row r="3" spans="1:5">
      <c r="A3" s="100" t="s">
        <v>19</v>
      </c>
      <c r="B3" s="108">
        <f ca="1">VLOOKUP(B2,Table1[#All],2,FALSE)</f>
        <v>0</v>
      </c>
    </row>
    <row r="4" spans="1:5" ht="30">
      <c r="A4" s="109" t="s">
        <v>20</v>
      </c>
      <c r="B4" s="95" t="str">
        <f ca="1">VLOOKUP(B2,Table1[#All],4,FALSE)</f>
        <v>3 or less contracts, Autopay active, has current amt due</v>
      </c>
    </row>
    <row r="5" spans="1:5" ht="60">
      <c r="A5" s="100" t="s">
        <v>6</v>
      </c>
      <c r="B5" s="89" t="str">
        <f ca="1">VLOOKUP(B2,Table1[#All],3,FALSE)</f>
        <v>CallStart Main Menu/Title/check status/ serviceType=check Status/ID Auth/ID Auth True,Finance Exception code=else/Say yes, to make a payment today/Xfer</v>
      </c>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VLOOKUP(Table2575525269101343444647484956575859636465[[#This Row],[PEG]],Table1016[#All],2,FALSE)</f>
        <v>CallID.wav Call ID &lt;CallID&gt;</v>
      </c>
      <c r="D9" s="145" t="s">
        <v>477</v>
      </c>
      <c r="E9" s="122" t="str">
        <f>VLOOKUP(Table2575525269101343444647484956575859636465[[#This Row],[PEG]],Table1016[#All],3,FALSE)</f>
        <v>TEST</v>
      </c>
    </row>
    <row r="10" spans="1:5" ht="30">
      <c r="A10" s="114">
        <v>3</v>
      </c>
      <c r="B10" s="110" t="s">
        <v>115</v>
      </c>
      <c r="C10" s="105" t="str">
        <f>VLOOKUP(Table2575525269101343444647484956575859636465[[#This Row],[PEG]],Table1016[#All],2,FALSE)</f>
        <v>0100.wav Thank you for calling Shell vacations Club, we are glad you called. Please have your account number available for faster service. [To continue in Spanish, press 9]</v>
      </c>
      <c r="D10" s="145">
        <v>100</v>
      </c>
      <c r="E10" s="122" t="str">
        <f>VLOOKUP(Table2575525269101343444647484956575859636465[[#This Row],[PEG]],Table1016[#All],3,FALSE)</f>
        <v>PLAY PROMPT</v>
      </c>
    </row>
    <row r="11" spans="1:5" ht="30">
      <c r="A11" s="114">
        <v>4</v>
      </c>
      <c r="B11" s="110" t="s">
        <v>115</v>
      </c>
      <c r="C11" s="105" t="str">
        <f>VLOOKUP(Table2575525269101343444647484956575859636465[[#This Row],[PEG]],Table1016[#All],2,FALSE)</f>
        <v>0110-1.wav Which would you like? You can say... reservations, payments &amp; statements, title &amp; ownership changes, or more options.</v>
      </c>
      <c r="D11" s="145">
        <v>110</v>
      </c>
      <c r="E11" s="122" t="str">
        <f>VLOOKUP(Table2575525269101343444647484956575859636465[[#This Row],[PEG]],Table1016[#All],3,FALSE)</f>
        <v>MENU PROMPT</v>
      </c>
    </row>
    <row r="12" spans="1:5">
      <c r="A12" s="114">
        <v>5</v>
      </c>
      <c r="B12" s="110" t="s">
        <v>124</v>
      </c>
      <c r="C12" s="158" t="s">
        <v>565</v>
      </c>
      <c r="D12" s="145"/>
      <c r="E12" s="122" t="e">
        <f>VLOOKUP(Table2575525269101343444647484956575859636465[[#This Row],[PEG]],Table1016[#All],3,FALSE)</f>
        <v>#N/A</v>
      </c>
    </row>
    <row r="13" spans="1:5" ht="30">
      <c r="A13" s="114">
        <v>6</v>
      </c>
      <c r="B13" s="110" t="s">
        <v>115</v>
      </c>
      <c r="C13" s="105" t="str">
        <f>VLOOKUP(Table2575525269101343444647484956575859636465[[#This Row],[PEG]],Table1016[#All],2,FALSE)</f>
        <v>400.wav You can say make a payment, check account status, request a document, or more options. Which would you like?</v>
      </c>
      <c r="D13" s="145">
        <v>400</v>
      </c>
      <c r="E13" s="122" t="str">
        <f>VLOOKUP(Table2575525269101343444647484956575859636465[[#This Row],[PEG]],Table1016[#All],3,FALSE)</f>
        <v>MENU PROMPT</v>
      </c>
    </row>
    <row r="14" spans="1:5">
      <c r="A14" s="114">
        <v>7</v>
      </c>
      <c r="B14" s="110" t="s">
        <v>124</v>
      </c>
      <c r="C14" s="151" t="s">
        <v>3</v>
      </c>
      <c r="D14" s="125"/>
      <c r="E14" s="122" t="e">
        <f>VLOOKUP(Table2575525269101343444647484956575859636465[[#This Row],[PEG]],Table1016[#All],3,FALSE)</f>
        <v>#N/A</v>
      </c>
    </row>
    <row r="15" spans="1:5">
      <c r="A15" s="114">
        <v>8</v>
      </c>
      <c r="B15" s="110" t="s">
        <v>115</v>
      </c>
      <c r="C15" s="105" t="str">
        <f>VLOOKUP(Table2575525269101343444647484956575859636465[[#This Row],[PEG]],Table1016[#All],2,FALSE)</f>
        <v>0200-1.wav To get started, what is your account number?</v>
      </c>
      <c r="D15" s="112">
        <v>200</v>
      </c>
      <c r="E15" s="122" t="str">
        <f>VLOOKUP(Table2575525269101343444647484956575859636465[[#This Row],[PEG]],Table1016[#All],3,FALSE)</f>
        <v>MENU PROMPT</v>
      </c>
    </row>
    <row r="16" spans="1:5">
      <c r="A16" s="114">
        <v>9</v>
      </c>
      <c r="B16" s="110" t="s">
        <v>124</v>
      </c>
      <c r="C16" s="151" t="s">
        <v>515</v>
      </c>
      <c r="D16" s="112"/>
      <c r="E16" s="122" t="e">
        <f>VLOOKUP(Table2575525269101343444647484956575859636465[[#This Row],[PEG]],Table1016[#All],3,FALSE)</f>
        <v>#N/A</v>
      </c>
    </row>
    <row r="17" spans="1:5">
      <c r="A17" s="114">
        <v>10</v>
      </c>
      <c r="B17" s="110" t="s">
        <v>12</v>
      </c>
      <c r="C17" s="105" t="str">
        <f>VLOOKUP(Table2575525269101343444647484956575859636465[[#This Row],[PEG]],Table1016[#All],2,FALSE)</f>
        <v>0210-1.wav And the date of birth for the primary owner?</v>
      </c>
      <c r="D17" s="113">
        <v>210</v>
      </c>
      <c r="E17" s="122" t="str">
        <f>VLOOKUP(Table2575525269101343444647484956575859636465[[#This Row],[PEG]],Table1016[#All],3,FALSE)</f>
        <v>MENU PROMPT</v>
      </c>
    </row>
    <row r="18" spans="1:5">
      <c r="A18" s="114">
        <v>11</v>
      </c>
      <c r="B18" s="110" t="s">
        <v>124</v>
      </c>
      <c r="C18" s="151" t="s">
        <v>524</v>
      </c>
      <c r="D18" s="113"/>
      <c r="E18" s="122" t="e">
        <f>VLOOKUP(Table2575525269101343444647484956575859636465[[#This Row],[PEG]],Table1016[#All],3,FALSE)</f>
        <v>#N/A</v>
      </c>
    </row>
    <row r="19" spans="1:5" s="93" customFormat="1" ht="30">
      <c r="A19" s="114">
        <v>12</v>
      </c>
      <c r="B19" s="110" t="s">
        <v>115</v>
      </c>
      <c r="C19" s="105" t="str">
        <f>VLOOKUP(Table2575525269101343444647484956575859636465[[#This Row],[PEG]],Table1016[#All],2,FALSE)</f>
        <v>0450-1.wav Your current amount due is [amount] which includes a loan payment of [amount] for contract number(s) [xxxxxxxxxx] and an assessment balance of [amount]. Would you like to make a payment today?</v>
      </c>
      <c r="D19" s="113">
        <v>450</v>
      </c>
      <c r="E19" s="122"/>
    </row>
    <row r="20" spans="1:5" s="93" customFormat="1">
      <c r="A20" s="114">
        <v>13</v>
      </c>
      <c r="B20" s="110" t="s">
        <v>124</v>
      </c>
      <c r="C20" s="151" t="s">
        <v>582</v>
      </c>
      <c r="D20" s="113"/>
      <c r="E20" s="122"/>
    </row>
    <row r="21" spans="1:5">
      <c r="A21" s="114">
        <v>14</v>
      </c>
      <c r="B21" s="110" t="s">
        <v>115</v>
      </c>
      <c r="C21" s="105" t="str">
        <f>VLOOKUP(Table2575525269101343444647484956575859636465[[#This Row],[PEG]],Table1016[#All],2,FALSE)</f>
        <v>0900.wav Please hold, while I connect you to a customer service representative.</v>
      </c>
      <c r="D21" s="113">
        <v>900</v>
      </c>
      <c r="E21" s="122" t="str">
        <f>VLOOKUP(Table2575525269101343444647484956575859636465[[#This Row],[PEG]],Table1016[#All],3,FALSE)</f>
        <v>PLAY PROMPT</v>
      </c>
    </row>
    <row r="22" spans="1:5">
      <c r="A22" s="114">
        <v>15</v>
      </c>
      <c r="B22" s="110" t="s">
        <v>115</v>
      </c>
      <c r="C22" s="105" t="str">
        <f>VLOOKUP(Table2575525269101343444647484956575859636465[[#This Row],[PEG]],Table1016[#All],2,FALSE)</f>
        <v>XferNbr.wav Transfer Number &lt;TransferNbr&gt;</v>
      </c>
      <c r="D22" s="113" t="s">
        <v>480</v>
      </c>
      <c r="E22" s="122" t="str">
        <f>VLOOKUP(Table2575525269101343444647484956575859636465[[#This Row],[PEG]],Table1016[#All],3,FALSE)</f>
        <v>TEST</v>
      </c>
    </row>
    <row r="23" spans="1:5">
      <c r="A23" s="114">
        <v>16</v>
      </c>
      <c r="B23" s="110" t="s">
        <v>13</v>
      </c>
      <c r="C23" s="17" t="s">
        <v>13</v>
      </c>
      <c r="D23" s="111"/>
      <c r="E23" s="31"/>
    </row>
    <row r="24" spans="1:5">
      <c r="C24" s="25"/>
      <c r="D24" s="107" t="s">
        <v>0</v>
      </c>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5"/>
    </row>
    <row r="39" spans="3:3">
      <c r="C39" s="26"/>
    </row>
    <row r="40" spans="3:3">
      <c r="C40" s="26"/>
    </row>
    <row r="41" spans="3:3">
      <c r="C41" s="26"/>
    </row>
  </sheetData>
  <mergeCells count="1">
    <mergeCell ref="A1:B1"/>
  </mergeCells>
  <conditionalFormatting sqref="B23">
    <cfRule type="containsText" dxfId="5808" priority="52" operator="containsText" text="Hear">
      <formula>NOT(ISERROR(SEARCH("Hear",B23)))</formula>
    </cfRule>
  </conditionalFormatting>
  <conditionalFormatting sqref="E23">
    <cfRule type="containsText" dxfId="5807" priority="50" operator="containsText" text="WEB SERVICE">
      <formula>NOT(ISERROR(SEARCH("WEB SERVICE",E23)))</formula>
    </cfRule>
    <cfRule type="containsText" dxfId="5806" priority="51" operator="containsText" text="DB">
      <formula>NOT(ISERROR(SEARCH("DB",E23)))</formula>
    </cfRule>
  </conditionalFormatting>
  <conditionalFormatting sqref="C23:C9980">
    <cfRule type="expression" dxfId="5805" priority="53">
      <formula>$B23="Dial"</formula>
    </cfRule>
    <cfRule type="expression" dxfId="5804" priority="55">
      <formula>$B23="HANGUP"</formula>
    </cfRule>
  </conditionalFormatting>
  <conditionalFormatting sqref="C23">
    <cfRule type="expression" dxfId="5803" priority="54">
      <formula>$B23="Speak"</formula>
    </cfRule>
  </conditionalFormatting>
  <conditionalFormatting sqref="B8">
    <cfRule type="containsText" dxfId="5802" priority="15" operator="containsText" text="Hear">
      <formula>NOT(ISERROR(SEARCH("Hear",B8)))</formula>
    </cfRule>
  </conditionalFormatting>
  <conditionalFormatting sqref="B9:B19 B21:B22">
    <cfRule type="containsText" dxfId="5801" priority="14" operator="containsText" text="Hear">
      <formula>NOT(ISERROR(SEARCH("Hear",B9)))</formula>
    </cfRule>
  </conditionalFormatting>
  <conditionalFormatting sqref="B20">
    <cfRule type="containsText" dxfId="5800" priority="4" operator="containsText" text="Hear">
      <formula>NOT(ISERROR(SEARCH("Hear",B20)))</formula>
    </cfRule>
  </conditionalFormatting>
  <hyperlinks>
    <hyperlink ref="A1" location="'Test Case Overview'!A1" display="Return to Test Case Overview" xr:uid="{00000000-0004-0000-1E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47" id="{020162C0-4E20-49C4-9887-3F67DAF46504}">
            <xm:f>'TC1'!$B8="Dial"</xm:f>
            <x14:dxf>
              <font>
                <b/>
                <i val="0"/>
                <color rgb="FFFF0000"/>
              </font>
            </x14:dxf>
          </x14:cfRule>
          <x14:cfRule type="expression" priority="49" id="{986CE9F3-8F67-4738-BC41-C7361D96DDE6}">
            <xm:f>'TC1'!$B8="HANGUP"</xm:f>
            <x14:dxf>
              <font>
                <b/>
                <i val="0"/>
              </font>
            </x14:dxf>
          </x14:cfRule>
          <xm:sqref>C8</xm:sqref>
        </x14:conditionalFormatting>
        <x14:conditionalFormatting xmlns:xm="http://schemas.microsoft.com/office/excel/2006/main">
          <x14:cfRule type="expression" priority="48" id="{C3CA722B-ACA7-494D-A9B6-6C3A9A3E5877}">
            <xm:f>'TC1'!$B8="Speak"</xm:f>
            <x14:dxf>
              <font>
                <b/>
                <i val="0"/>
                <color rgb="FFFF0000"/>
              </font>
            </x14:dxf>
          </x14:cfRule>
          <xm:sqref>C8</xm:sqref>
        </x14:conditionalFormatting>
        <x14:conditionalFormatting xmlns:xm="http://schemas.microsoft.com/office/excel/2006/main">
          <x14:cfRule type="containsText" priority="44" operator="containsText" text="WEB SERVICE" id="{657F4E46-9A13-4B24-88FC-30D966946345}">
            <xm:f>NOT(ISERROR(SEARCH("WEB SERVICE",'TC1'!E10)))</xm:f>
            <x14:dxf>
              <font>
                <color rgb="FF9C0006"/>
              </font>
              <fill>
                <patternFill>
                  <bgColor rgb="FFFFC7CE"/>
                </patternFill>
              </fill>
            </x14:dxf>
          </x14:cfRule>
          <x14:cfRule type="containsText" priority="45" operator="containsText" text="DB" id="{40AE917C-527E-404B-95D8-6F5363AE8D47}">
            <xm:f>NOT(ISERROR(SEARCH("DB",'TC1'!E10)))</xm:f>
            <x14:dxf>
              <font>
                <color rgb="FF006100"/>
              </font>
              <fill>
                <patternFill>
                  <bgColor rgb="FFC6EFCE"/>
                </patternFill>
              </fill>
            </x14:dxf>
          </x14:cfRule>
          <xm:sqref>E9:E12</xm:sqref>
        </x14:conditionalFormatting>
        <x14:conditionalFormatting xmlns:xm="http://schemas.microsoft.com/office/excel/2006/main">
          <x14:cfRule type="expression" priority="908" id="{020162C0-4E20-49C4-9887-3F67DAF46504}">
            <xm:f>'TC1'!#REF!="Dial"</xm:f>
            <x14:dxf>
              <font>
                <b/>
                <i val="0"/>
                <color rgb="FFFF0000"/>
              </font>
            </x14:dxf>
          </x14:cfRule>
          <x14:cfRule type="expression" priority="909" id="{986CE9F3-8F67-4738-BC41-C7361D96DDE6}">
            <xm:f>'TC1'!#REF!="HANGUP"</xm:f>
            <x14:dxf>
              <font>
                <b/>
                <i val="0"/>
              </font>
            </x14:dxf>
          </x14:cfRule>
          <xm:sqref>C13:C15 C17 C21:C22</xm:sqref>
        </x14:conditionalFormatting>
        <x14:conditionalFormatting xmlns:xm="http://schemas.microsoft.com/office/excel/2006/main">
          <x14:cfRule type="expression" priority="914" id="{C3CA722B-ACA7-494D-A9B6-6C3A9A3E5877}">
            <xm:f>'TC1'!#REF!="Speak"</xm:f>
            <x14:dxf>
              <font>
                <b/>
                <i val="0"/>
                <color rgb="FFFF0000"/>
              </font>
            </x14:dxf>
          </x14:cfRule>
          <xm:sqref>C13:C15 C17 C21:C22</xm:sqref>
        </x14:conditionalFormatting>
        <x14:conditionalFormatting xmlns:xm="http://schemas.microsoft.com/office/excel/2006/main">
          <x14:cfRule type="containsText" priority="920" operator="containsText" text="WEB SERVICE" id="{657F4E46-9A13-4B24-88FC-30D966946345}">
            <xm:f>NOT(ISERROR(SEARCH("WEB SERVICE",'TC1'!#REF!)))</xm:f>
            <x14:dxf>
              <font>
                <color rgb="FF9C0006"/>
              </font>
              <fill>
                <patternFill>
                  <bgColor rgb="FFFFC7CE"/>
                </patternFill>
              </fill>
            </x14:dxf>
          </x14:cfRule>
          <x14:cfRule type="containsText" priority="921" operator="containsText" text="DB" id="{40AE917C-527E-404B-95D8-6F5363AE8D47}">
            <xm:f>NOT(ISERROR(SEARCH("DB",'TC1'!#REF!)))</xm:f>
            <x14:dxf>
              <font>
                <color rgb="FF006100"/>
              </font>
              <fill>
                <patternFill>
                  <bgColor rgb="FFC6EFCE"/>
                </patternFill>
              </fill>
            </x14:dxf>
          </x14:cfRule>
          <xm:sqref>E13:E22</xm:sqref>
        </x14:conditionalFormatting>
        <x14:conditionalFormatting xmlns:xm="http://schemas.microsoft.com/office/excel/2006/main">
          <x14:cfRule type="expression" priority="3653" id="{020162C0-4E20-49C4-9887-3F67DAF46504}">
            <xm:f>'TC1'!$B10="Dial"</xm:f>
            <x14:dxf>
              <font>
                <b/>
                <i val="0"/>
                <color rgb="FFFF0000"/>
              </font>
            </x14:dxf>
          </x14:cfRule>
          <x14:cfRule type="expression" priority="3654" id="{986CE9F3-8F67-4738-BC41-C7361D96DDE6}">
            <xm:f>'TC1'!$B10="HANGUP"</xm:f>
            <x14:dxf>
              <font>
                <b/>
                <i val="0"/>
              </font>
            </x14:dxf>
          </x14:cfRule>
          <xm:sqref>C9:C12</xm:sqref>
        </x14:conditionalFormatting>
        <x14:conditionalFormatting xmlns:xm="http://schemas.microsoft.com/office/excel/2006/main">
          <x14:cfRule type="expression" priority="3656" id="{C3CA722B-ACA7-494D-A9B6-6C3A9A3E5877}">
            <xm:f>'TC1'!$B10="Speak"</xm:f>
            <x14:dxf>
              <font>
                <b/>
                <i val="0"/>
                <color rgb="FFFF0000"/>
              </font>
            </x14:dxf>
          </x14:cfRule>
          <xm:sqref>C9:C12</xm:sqref>
        </x14:conditionalFormatting>
        <x14:conditionalFormatting xmlns:xm="http://schemas.microsoft.com/office/excel/2006/main">
          <x14:cfRule type="expression" priority="11" id="{ADF6A303-13C3-477A-A34A-17A2868AC9EE}">
            <xm:f>'\Users\deannah\Wyndham Testing\[Wyndham Destinations_TestCaseOverview_V3_Template.xlsx]TC1'!#REF!="HANGUP"</xm:f>
            <x14:dxf>
              <font>
                <b/>
                <i val="0"/>
              </font>
            </x14:dxf>
          </x14:cfRule>
          <x14:cfRule type="expression" priority="12" id="{1A5BB057-2FD3-4265-9480-7E445C87452A}">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13" id="{5137C3EE-B5CD-46ED-BD21-BC5B96470E68}">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8" id="{663116A2-7B9B-4C8F-AC68-EA5B238AACD4}">
            <xm:f>'\Users\deannah\Wyndham Testing\[Wyndham Destinations_TestCaseOverview_V3_Template.xlsx]TC1'!#REF!="HANGUP"</xm:f>
            <x14:dxf>
              <font>
                <b/>
                <i val="0"/>
              </font>
            </x14:dxf>
          </x14:cfRule>
          <x14:cfRule type="expression" priority="9" id="{31E55F85-2A2E-4A28-9FCD-95543D5E1AEE}">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10" id="{17F48B4C-A5F9-42CD-9AE3-04935E44A4FC}">
            <xm:f>'\Users\deannah\Wyndham Testing\[Wyndham Destinations_TestCaseOverview_V3_Template.xlsx]TC1'!#REF!="Speak"</xm:f>
            <x14:dxf>
              <font>
                <b/>
                <i val="0"/>
                <color rgb="FFFF0000"/>
              </font>
            </x14:dxf>
          </x14:cfRule>
          <xm:sqref>C18</xm:sqref>
        </x14:conditionalFormatting>
        <x14:conditionalFormatting xmlns:xm="http://schemas.microsoft.com/office/excel/2006/main">
          <x14:cfRule type="expression" priority="5" id="{0B51E764-2EA2-42F4-AE0D-EDC1DADC5431}">
            <xm:f>'TC1'!#REF!="Dial"</xm:f>
            <x14:dxf>
              <font>
                <b/>
                <i val="0"/>
                <color rgb="FFFF0000"/>
              </font>
            </x14:dxf>
          </x14:cfRule>
          <x14:cfRule type="expression" priority="6" id="{57B5DE4D-97B4-427C-9A82-68252DAE93A8}">
            <xm:f>'TC1'!#REF!="HANGUP"</xm:f>
            <x14:dxf>
              <font>
                <b/>
                <i val="0"/>
              </font>
            </x14:dxf>
          </x14:cfRule>
          <xm:sqref>C19</xm:sqref>
        </x14:conditionalFormatting>
        <x14:conditionalFormatting xmlns:xm="http://schemas.microsoft.com/office/excel/2006/main">
          <x14:cfRule type="expression" priority="7" id="{7416EB83-77D5-4A20-B915-73E142548E81}">
            <xm:f>'TC1'!#REF!="Speak"</xm:f>
            <x14:dxf>
              <font>
                <b/>
                <i val="0"/>
                <color rgb="FFFF0000"/>
              </font>
            </x14:dxf>
          </x14:cfRule>
          <xm:sqref>C19</xm:sqref>
        </x14:conditionalFormatting>
        <x14:conditionalFormatting xmlns:xm="http://schemas.microsoft.com/office/excel/2006/main">
          <x14:cfRule type="expression" priority="1" id="{EACE0970-6456-4A6C-9225-FD80A8B8C395}">
            <xm:f>'\Users\deannah\Wyndham Testing\[Wyndham Destinations_TestCaseOverview_V3_Template.xlsx]TC1'!#REF!="HANGUP"</xm:f>
            <x14:dxf>
              <font>
                <b/>
                <i val="0"/>
              </font>
            </x14:dxf>
          </x14:cfRule>
          <x14:cfRule type="expression" priority="2" id="{5553D2ED-1A5F-48B8-8655-2B9B8D0B948D}">
            <xm:f>'\Users\deannah\Wyndham Testing\[Wyndham Destinations_TestCaseOverview_V3_Template.xlsx]TC1'!#REF!="Dial"</xm:f>
            <x14:dxf>
              <font>
                <b/>
                <i val="0"/>
                <color rgb="FFFF0000"/>
              </font>
            </x14:dxf>
          </x14:cfRule>
          <xm:sqref>C20</xm:sqref>
        </x14:conditionalFormatting>
        <x14:conditionalFormatting xmlns:xm="http://schemas.microsoft.com/office/excel/2006/main">
          <x14:cfRule type="expression" priority="3" id="{71B1C955-6873-4B50-861D-7692E5F6EAB0}">
            <xm:f>'\Users\deannah\Wyndham Testing\[Wyndham Destinations_TestCaseOverview_V3_Template.xlsx]TC1'!#REF!="Speak"</xm:f>
            <x14:dxf>
              <font>
                <b/>
                <i val="0"/>
                <color rgb="FFFF0000"/>
              </font>
            </x14:dxf>
          </x14:cfRule>
          <xm:sqref>C20</xm:sqref>
        </x14:conditionalFormatting>
      </x14:conditionalFormatting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dimension ref="A1:E41"/>
  <sheetViews>
    <sheetView zoomScaleNormal="100" workbookViewId="0">
      <selection activeCell="C25" sqref="C25"/>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TC31</v>
      </c>
    </row>
    <row r="3" spans="1:5">
      <c r="A3" s="100" t="s">
        <v>19</v>
      </c>
      <c r="B3" s="108">
        <f ca="1">VLOOKUP(B2,Table1[#All],2,FALSE)</f>
        <v>0</v>
      </c>
    </row>
    <row r="4" spans="1:5" ht="30">
      <c r="A4" s="109" t="s">
        <v>20</v>
      </c>
      <c r="B4" s="95" t="str">
        <f ca="1">VLOOKUP(B2,Table1[#All],4,FALSE)</f>
        <v>serviceType=RequestDocs, 1098 msg not active, cancellation ltr status Cancelled=No</v>
      </c>
    </row>
    <row r="5" spans="1:5" ht="75">
      <c r="A5" s="100" t="s">
        <v>6</v>
      </c>
      <c r="B5" s="89" t="str">
        <f ca="1">VLOOKUP(B2,Table1[#All],3,FALSE)</f>
        <v>CallStart Main Menu/Pmts and Statements/request doc/ serviceType=requestDocs/ID Auth/ID Auth True,Finance Exception code=else/Say cancellation letter/Xfer</v>
      </c>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VLOOKUP(Table257552526910134344464748495657585963646514[[#This Row],[PEG]],Table1016[#All],2,FALSE)</f>
        <v>CallID.wav Call ID &lt;CallID&gt;</v>
      </c>
      <c r="D9" s="145" t="s">
        <v>477</v>
      </c>
      <c r="E9" s="122" t="str">
        <f>VLOOKUP(Table257552526910134344464748495657585963646514[[#This Row],[PEG]],Table1016[#All],3,FALSE)</f>
        <v>TEST</v>
      </c>
    </row>
    <row r="10" spans="1:5" ht="30">
      <c r="A10" s="114">
        <v>3</v>
      </c>
      <c r="B10" s="110" t="s">
        <v>115</v>
      </c>
      <c r="C10" s="105" t="str">
        <f>VLOOKUP(Table257552526910134344464748495657585963646514[[#This Row],[PEG]],Table1016[#All],2,FALSE)</f>
        <v>0100.wav Thank you for calling Shell vacations Club, we are glad you called. Please have your account number available for faster service. [To continue in Spanish, press 9]</v>
      </c>
      <c r="D10" s="145">
        <v>100</v>
      </c>
      <c r="E10" s="122" t="str">
        <f>VLOOKUP(Table257552526910134344464748495657585963646514[[#This Row],[PEG]],Table1016[#All],3,FALSE)</f>
        <v>PLAY PROMPT</v>
      </c>
    </row>
    <row r="11" spans="1:5" ht="30">
      <c r="A11" s="114">
        <v>4</v>
      </c>
      <c r="B11" s="110" t="s">
        <v>115</v>
      </c>
      <c r="C11" s="105" t="str">
        <f>VLOOKUP(Table257552526910134344464748495657585963646514[[#This Row],[PEG]],Table1016[#All],2,FALSE)</f>
        <v>0110-1.wav Which would you like? You can say... reservations, payments &amp; statements, title &amp; ownership changes, or more options.</v>
      </c>
      <c r="D11" s="145">
        <v>110</v>
      </c>
      <c r="E11" s="122" t="str">
        <f>VLOOKUP(Table257552526910134344464748495657585963646514[[#This Row],[PEG]],Table1016[#All],3,FALSE)</f>
        <v>MENU PROMPT</v>
      </c>
    </row>
    <row r="12" spans="1:5">
      <c r="A12" s="114">
        <v>5</v>
      </c>
      <c r="B12" s="110" t="s">
        <v>124</v>
      </c>
      <c r="C12" s="158" t="s">
        <v>574</v>
      </c>
      <c r="D12" s="145"/>
      <c r="E12" s="122" t="e">
        <f>VLOOKUP(Table257552526910134344464748495657585963646514[[#This Row],[PEG]],Table1016[#All],3,FALSE)</f>
        <v>#N/A</v>
      </c>
    </row>
    <row r="13" spans="1:5" ht="30">
      <c r="A13" s="114">
        <v>6</v>
      </c>
      <c r="B13" s="110" t="s">
        <v>115</v>
      </c>
      <c r="C13" s="105" t="str">
        <f>VLOOKUP(Table257552526910134344464748495657585963646514[[#This Row],[PEG]],Table1016[#All],2,FALSE)</f>
        <v>400.wav You can say make a payment, check account status, request a document, or more options. Which would you like?</v>
      </c>
      <c r="D13" s="145">
        <v>400</v>
      </c>
      <c r="E13" s="122" t="str">
        <f>VLOOKUP(Table257552526910134344464748495657585963646514[[#This Row],[PEG]],Table1016[#All],3,FALSE)</f>
        <v>MENU PROMPT</v>
      </c>
    </row>
    <row r="14" spans="1:5">
      <c r="A14" s="114">
        <v>7</v>
      </c>
      <c r="B14" s="110" t="s">
        <v>124</v>
      </c>
      <c r="C14" s="151" t="s">
        <v>585</v>
      </c>
      <c r="D14" s="125"/>
      <c r="E14" s="122" t="e">
        <f>VLOOKUP(Table257552526910134344464748495657585963646514[[#This Row],[PEG]],Table1016[#All],3,FALSE)</f>
        <v>#N/A</v>
      </c>
    </row>
    <row r="15" spans="1:5">
      <c r="A15" s="114">
        <v>8</v>
      </c>
      <c r="B15" s="110" t="s">
        <v>115</v>
      </c>
      <c r="C15" s="105" t="str">
        <f>VLOOKUP(Table257552526910134344464748495657585963646514[[#This Row],[PEG]],Table1016[#All],2,FALSE)</f>
        <v>0200-1.wav To get started, what is your account number?</v>
      </c>
      <c r="D15" s="112">
        <v>200</v>
      </c>
      <c r="E15" s="122" t="str">
        <f>VLOOKUP(Table257552526910134344464748495657585963646514[[#This Row],[PEG]],Table1016[#All],3,FALSE)</f>
        <v>MENU PROMPT</v>
      </c>
    </row>
    <row r="16" spans="1:5">
      <c r="A16" s="114">
        <v>9</v>
      </c>
      <c r="B16" s="110" t="s">
        <v>114</v>
      </c>
      <c r="C16" s="151" t="s">
        <v>515</v>
      </c>
      <c r="D16" s="112"/>
      <c r="E16" s="122" t="e">
        <f>VLOOKUP(Table257552526910134344464748495657585963646514[[#This Row],[PEG]],Table1016[#All],3,FALSE)</f>
        <v>#N/A</v>
      </c>
    </row>
    <row r="17" spans="1:5">
      <c r="A17" s="114">
        <v>10</v>
      </c>
      <c r="B17" s="110" t="s">
        <v>115</v>
      </c>
      <c r="C17" s="105" t="str">
        <f>VLOOKUP(Table257552526910134344464748495657585963646514[[#This Row],[PEG]],Table1016[#All],2,FALSE)</f>
        <v>0210-1.wav And the date of birth for the primary owner?</v>
      </c>
      <c r="D17" s="113">
        <v>210</v>
      </c>
      <c r="E17" s="122" t="str">
        <f>VLOOKUP(Table257552526910134344464748495657585963646514[[#This Row],[PEG]],Table1016[#All],3,FALSE)</f>
        <v>MENU PROMPT</v>
      </c>
    </row>
    <row r="18" spans="1:5">
      <c r="A18" s="114">
        <v>11</v>
      </c>
      <c r="B18" s="110" t="s">
        <v>124</v>
      </c>
      <c r="C18" s="151" t="s">
        <v>524</v>
      </c>
      <c r="D18" s="113"/>
      <c r="E18" s="122" t="e">
        <f>VLOOKUP(Table257552526910134344464748495657585963646514[[#This Row],[PEG]],Table1016[#All],3,FALSE)</f>
        <v>#N/A</v>
      </c>
    </row>
    <row r="19" spans="1:5" ht="30">
      <c r="A19" s="114">
        <v>12</v>
      </c>
      <c r="B19" s="110" t="s">
        <v>115</v>
      </c>
      <c r="C19" s="105" t="str">
        <f>VLOOKUP(Table257552526910134344464748495657585963646514[[#This Row],[PEG]],Table1016[#All],2,FALSE)</f>
        <v xml:space="preserve">0470.wav Which document would you like? You can say pay-off quote, statements, cancellation letter or tax documents. </v>
      </c>
      <c r="D19" s="113">
        <v>470</v>
      </c>
      <c r="E19" s="122" t="str">
        <f>VLOOKUP(Table257552526910134344464748495657585963646514[[#This Row],[PEG]],Table1016[#All],3,FALSE)</f>
        <v>MENU PROMPT</v>
      </c>
    </row>
    <row r="20" spans="1:5">
      <c r="A20" s="114">
        <v>13</v>
      </c>
      <c r="B20" s="110" t="s">
        <v>124</v>
      </c>
      <c r="C20" s="151" t="s">
        <v>586</v>
      </c>
      <c r="D20" s="113"/>
      <c r="E20" s="122" t="e">
        <f>VLOOKUP(Table257552526910134344464748495657585963646514[[#This Row],[PEG]],Table1016[#All],3,FALSE)</f>
        <v>#N/A</v>
      </c>
    </row>
    <row r="21" spans="1:5">
      <c r="A21" s="114">
        <v>14</v>
      </c>
      <c r="B21" s="110" t="s">
        <v>115</v>
      </c>
      <c r="C21" s="105" t="str">
        <f>VLOOKUP(Table257552526910134344464748495657585963646514[[#This Row],[PEG]],Table1016[#All],2,FALSE)</f>
        <v>0900.wav Please hold, while I connect you to a customer service representative.</v>
      </c>
      <c r="D21" s="113">
        <v>900</v>
      </c>
      <c r="E21" s="122" t="str">
        <f>VLOOKUP(Table257552526910134344464748495657585963646514[[#This Row],[PEG]],Table1016[#All],3,FALSE)</f>
        <v>PLAY PROMPT</v>
      </c>
    </row>
    <row r="22" spans="1:5">
      <c r="A22" s="114">
        <v>15</v>
      </c>
      <c r="B22" s="110" t="s">
        <v>115</v>
      </c>
      <c r="C22" s="105" t="str">
        <f>VLOOKUP(Table257552526910134344464748495657585963646514[[#This Row],[PEG]],Table1016[#All],2,FALSE)</f>
        <v>XferNbr.wav Transfer Number &lt;TransferNbr&gt;</v>
      </c>
      <c r="D22" s="113" t="s">
        <v>480</v>
      </c>
      <c r="E22" s="122" t="str">
        <f>VLOOKUP(Table257552526910134344464748495657585963646514[[#This Row],[PEG]],Table1016[#All],3,FALSE)</f>
        <v>TEST</v>
      </c>
    </row>
    <row r="23" spans="1:5">
      <c r="A23" s="114">
        <v>16</v>
      </c>
      <c r="B23" s="110" t="s">
        <v>13</v>
      </c>
      <c r="C23" s="105" t="s">
        <v>13</v>
      </c>
      <c r="D23" s="113"/>
      <c r="E23" s="31"/>
    </row>
    <row r="24" spans="1:5">
      <c r="C24" s="25"/>
      <c r="D24" s="107" t="s">
        <v>0</v>
      </c>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5"/>
    </row>
    <row r="39" spans="3:3">
      <c r="C39" s="26"/>
    </row>
    <row r="40" spans="3:3">
      <c r="C40" s="26"/>
    </row>
    <row r="41" spans="3:3">
      <c r="C41" s="26"/>
    </row>
  </sheetData>
  <mergeCells count="1">
    <mergeCell ref="A1:B1"/>
  </mergeCells>
  <conditionalFormatting sqref="B21:B22">
    <cfRule type="containsText" dxfId="5765" priority="63" operator="containsText" text="Hear">
      <formula>NOT(ISERROR(SEARCH("Hear",B21)))</formula>
    </cfRule>
  </conditionalFormatting>
  <conditionalFormatting sqref="C23:C9980">
    <cfRule type="expression" dxfId="5764" priority="64">
      <formula>$B23="Dial"</formula>
    </cfRule>
    <cfRule type="expression" dxfId="5763" priority="66">
      <formula>$B23="HANGUP"</formula>
    </cfRule>
  </conditionalFormatting>
  <conditionalFormatting sqref="C23">
    <cfRule type="expression" dxfId="5762" priority="65">
      <formula>$B23="Speak"</formula>
    </cfRule>
  </conditionalFormatting>
  <conditionalFormatting sqref="B23">
    <cfRule type="containsText" dxfId="5761" priority="47" operator="containsText" text="Hear">
      <formula>NOT(ISERROR(SEARCH("Hear",B23)))</formula>
    </cfRule>
  </conditionalFormatting>
  <conditionalFormatting sqref="E23">
    <cfRule type="containsText" dxfId="5760" priority="42" operator="containsText" text="WEB SERVICE">
      <formula>NOT(ISERROR(SEARCH("WEB SERVICE",E23)))</formula>
    </cfRule>
    <cfRule type="containsText" dxfId="5759" priority="43" operator="containsText" text="DB">
      <formula>NOT(ISERROR(SEARCH("DB",E23)))</formula>
    </cfRule>
  </conditionalFormatting>
  <conditionalFormatting sqref="B8:B20">
    <cfRule type="containsText" dxfId="5758" priority="13" operator="containsText" text="Hear">
      <formula>NOT(ISERROR(SEARCH("Hear",B8)))</formula>
    </cfRule>
  </conditionalFormatting>
  <hyperlinks>
    <hyperlink ref="A1" location="'Test Case Overview'!A1" display="Return to Test Case Overview" xr:uid="{00000000-0004-0000-1F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58" id="{466B055B-9518-4951-8B34-87040A470957}">
            <xm:f>'TC1'!$B8="Dial"</xm:f>
            <x14:dxf>
              <font>
                <b/>
                <i val="0"/>
                <color rgb="FFFF0000"/>
              </font>
            </x14:dxf>
          </x14:cfRule>
          <x14:cfRule type="expression" priority="60" id="{032EE956-4DBF-4108-AF58-58766BADE3BC}">
            <xm:f>'TC1'!$B8="HANGUP"</xm:f>
            <x14:dxf>
              <font>
                <b/>
                <i val="0"/>
              </font>
            </x14:dxf>
          </x14:cfRule>
          <xm:sqref>C8</xm:sqref>
        </x14:conditionalFormatting>
        <x14:conditionalFormatting xmlns:xm="http://schemas.microsoft.com/office/excel/2006/main">
          <x14:cfRule type="expression" priority="59" id="{A1643F2C-3F1F-49F4-BE5B-6D53389A6BBF}">
            <xm:f>'TC1'!$B8="Speak"</xm:f>
            <x14:dxf>
              <font>
                <b/>
                <i val="0"/>
                <color rgb="FFFF0000"/>
              </font>
            </x14:dxf>
          </x14:cfRule>
          <xm:sqref>C8</xm:sqref>
        </x14:conditionalFormatting>
        <x14:conditionalFormatting xmlns:xm="http://schemas.microsoft.com/office/excel/2006/main">
          <x14:cfRule type="containsText" priority="55" operator="containsText" text="WEB SERVICE" id="{0A45611B-ACA2-4712-9307-30A2A0A73F43}">
            <xm:f>NOT(ISERROR(SEARCH("WEB SERVICE",'TC1'!E10)))</xm:f>
            <x14:dxf>
              <font>
                <color rgb="FF9C0006"/>
              </font>
              <fill>
                <patternFill>
                  <bgColor rgb="FFFFC7CE"/>
                </patternFill>
              </fill>
            </x14:dxf>
          </x14:cfRule>
          <x14:cfRule type="containsText" priority="56" operator="containsText" text="DB" id="{2F60AB63-BB66-401E-8205-9888A6AF3AAD}">
            <xm:f>NOT(ISERROR(SEARCH("DB",'TC1'!E10)))</xm:f>
            <x14:dxf>
              <font>
                <color rgb="FF006100"/>
              </font>
              <fill>
                <patternFill>
                  <bgColor rgb="FFC6EFCE"/>
                </patternFill>
              </fill>
            </x14:dxf>
          </x14:cfRule>
          <xm:sqref>E9:E12</xm:sqref>
        </x14:conditionalFormatting>
        <x14:conditionalFormatting xmlns:xm="http://schemas.microsoft.com/office/excel/2006/main">
          <x14:cfRule type="expression" priority="925" id="{466B055B-9518-4951-8B34-87040A470957}">
            <xm:f>'TC1'!#REF!="Dial"</xm:f>
            <x14:dxf>
              <font>
                <b/>
                <i val="0"/>
                <color rgb="FFFF0000"/>
              </font>
            </x14:dxf>
          </x14:cfRule>
          <x14:cfRule type="expression" priority="926" id="{032EE956-4DBF-4108-AF58-58766BADE3BC}">
            <xm:f>'TC1'!#REF!="HANGUP"</xm:f>
            <x14:dxf>
              <font>
                <b/>
                <i val="0"/>
              </font>
            </x14:dxf>
          </x14:cfRule>
          <xm:sqref>C13:C15 C17 C20:C22</xm:sqref>
        </x14:conditionalFormatting>
        <x14:conditionalFormatting xmlns:xm="http://schemas.microsoft.com/office/excel/2006/main">
          <x14:cfRule type="expression" priority="931" id="{A1643F2C-3F1F-49F4-BE5B-6D53389A6BBF}">
            <xm:f>'TC1'!#REF!="Speak"</xm:f>
            <x14:dxf>
              <font>
                <b/>
                <i val="0"/>
                <color rgb="FFFF0000"/>
              </font>
            </x14:dxf>
          </x14:cfRule>
          <xm:sqref>C13:C15 C17 C20:C22</xm:sqref>
        </x14:conditionalFormatting>
        <x14:conditionalFormatting xmlns:xm="http://schemas.microsoft.com/office/excel/2006/main">
          <x14:cfRule type="containsText" priority="937" operator="containsText" text="WEB SERVICE" id="{0A45611B-ACA2-4712-9307-30A2A0A73F43}">
            <xm:f>NOT(ISERROR(SEARCH("WEB SERVICE",'TC1'!#REF!)))</xm:f>
            <x14:dxf>
              <font>
                <color rgb="FF9C0006"/>
              </font>
              <fill>
                <patternFill>
                  <bgColor rgb="FFFFC7CE"/>
                </patternFill>
              </fill>
            </x14:dxf>
          </x14:cfRule>
          <x14:cfRule type="containsText" priority="938" operator="containsText" text="DB" id="{2F60AB63-BB66-401E-8205-9888A6AF3AAD}">
            <xm:f>NOT(ISERROR(SEARCH("DB",'TC1'!#REF!)))</xm:f>
            <x14:dxf>
              <font>
                <color rgb="FF006100"/>
              </font>
              <fill>
                <patternFill>
                  <bgColor rgb="FFC6EFCE"/>
                </patternFill>
              </fill>
            </x14:dxf>
          </x14:cfRule>
          <xm:sqref>E13:E22</xm:sqref>
        </x14:conditionalFormatting>
        <x14:conditionalFormatting xmlns:xm="http://schemas.microsoft.com/office/excel/2006/main">
          <x14:cfRule type="expression" priority="3658" id="{466B055B-9518-4951-8B34-87040A470957}">
            <xm:f>'TC1'!$B10="Dial"</xm:f>
            <x14:dxf>
              <font>
                <b/>
                <i val="0"/>
                <color rgb="FFFF0000"/>
              </font>
            </x14:dxf>
          </x14:cfRule>
          <x14:cfRule type="expression" priority="3659" id="{032EE956-4DBF-4108-AF58-58766BADE3BC}">
            <xm:f>'TC1'!$B10="HANGUP"</xm:f>
            <x14:dxf>
              <font>
                <b/>
                <i val="0"/>
              </font>
            </x14:dxf>
          </x14:cfRule>
          <xm:sqref>C9:C12</xm:sqref>
        </x14:conditionalFormatting>
        <x14:conditionalFormatting xmlns:xm="http://schemas.microsoft.com/office/excel/2006/main">
          <x14:cfRule type="expression" priority="3661" id="{A1643F2C-3F1F-49F4-BE5B-6D53389A6BBF}">
            <xm:f>'TC1'!$B10="Speak"</xm:f>
            <x14:dxf>
              <font>
                <b/>
                <i val="0"/>
                <color rgb="FFFF0000"/>
              </font>
            </x14:dxf>
          </x14:cfRule>
          <xm:sqref>C9:C12</xm:sqref>
        </x14:conditionalFormatting>
        <x14:conditionalFormatting xmlns:xm="http://schemas.microsoft.com/office/excel/2006/main">
          <x14:cfRule type="expression" priority="10" id="{E739B2C9-05E0-4CAB-B56B-2EC0B018EAF3}">
            <xm:f>'\Users\deannah\Wyndham Testing\[Wyndham Destinations_TestCaseOverview_V3_Template.xlsx]TC1'!#REF!="HANGUP"</xm:f>
            <x14:dxf>
              <font>
                <b/>
                <i val="0"/>
              </font>
            </x14:dxf>
          </x14:cfRule>
          <x14:cfRule type="expression" priority="11" id="{9CCB9DB9-CC1B-4E96-941D-3263D7C1842B}">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12" id="{D3E7ED9E-5A06-4338-BBD4-7030DFA86547}">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4" id="{6008D5E4-0567-4E9B-B5B1-2F12007AFF91}">
            <xm:f>'\Users\deannah\Wyndham Testing\[Wyndham Destinations_TestCaseOverview_V3_Template.xlsx]TC1'!#REF!="HANGUP"</xm:f>
            <x14:dxf>
              <font>
                <b/>
                <i val="0"/>
              </font>
            </x14:dxf>
          </x14:cfRule>
          <x14:cfRule type="expression" priority="5" id="{A6E78CE1-CD40-4CAD-929C-430757D8ACE5}">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6" id="{5D9D3004-7262-4D47-979D-336961D84373}">
            <xm:f>'\Users\deannah\Wyndham Testing\[Wyndham Destinations_TestCaseOverview_V3_Template.xlsx]TC1'!#REF!="Speak"</xm:f>
            <x14:dxf>
              <font>
                <b/>
                <i val="0"/>
                <color rgb="FFFF0000"/>
              </font>
            </x14:dxf>
          </x14:cfRule>
          <xm:sqref>C18</xm:sqref>
        </x14:conditionalFormatting>
        <x14:conditionalFormatting xmlns:xm="http://schemas.microsoft.com/office/excel/2006/main">
          <x14:cfRule type="expression" priority="1" id="{7095BBCE-609F-4757-B908-096799F21C0D}">
            <xm:f>'TC1'!#REF!="Dial"</xm:f>
            <x14:dxf>
              <font>
                <b/>
                <i val="0"/>
                <color rgb="FFFF0000"/>
              </font>
            </x14:dxf>
          </x14:cfRule>
          <x14:cfRule type="expression" priority="2" id="{3D101AC6-F343-46ED-A049-3D252C2E17DD}">
            <xm:f>'TC1'!#REF!="HANGUP"</xm:f>
            <x14:dxf>
              <font>
                <b/>
                <i val="0"/>
              </font>
            </x14:dxf>
          </x14:cfRule>
          <xm:sqref>C19</xm:sqref>
        </x14:conditionalFormatting>
        <x14:conditionalFormatting xmlns:xm="http://schemas.microsoft.com/office/excel/2006/main">
          <x14:cfRule type="expression" priority="3" id="{473A2F40-9248-486E-A045-19A9E22678B4}">
            <xm:f>'TC1'!#REF!="Speak"</xm:f>
            <x14:dxf>
              <font>
                <b/>
                <i val="0"/>
                <color rgb="FFFF0000"/>
              </font>
            </x14:dxf>
          </x14:cfRule>
          <xm:sqref>C19</xm:sqref>
        </x14:conditionalFormatting>
      </x14:conditionalFormatting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dimension ref="A1:E43"/>
  <sheetViews>
    <sheetView zoomScaleNormal="100" workbookViewId="0">
      <selection activeCell="C30" sqref="C30"/>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TC32</v>
      </c>
    </row>
    <row r="3" spans="1:5">
      <c r="A3" s="100" t="s">
        <v>19</v>
      </c>
      <c r="B3" s="108">
        <f ca="1">VLOOKUP(B2,Table1[#All],2,FALSE)</f>
        <v>0</v>
      </c>
    </row>
    <row r="4" spans="1:5" ht="45">
      <c r="A4" s="109" t="s">
        <v>20</v>
      </c>
      <c r="B4" s="95" t="str">
        <f ca="1">VLOOKUP(B2,Table1[#All],4,FALSE)</f>
        <v>serviceType=RequestDocs, 1098 msg not active, cancellation ltr status Cancelled=Yes, Say NO to send ltr to address on file.</v>
      </c>
    </row>
    <row r="5" spans="1:5" ht="75">
      <c r="A5" s="100" t="s">
        <v>6</v>
      </c>
      <c r="B5" s="89" t="str">
        <f ca="1">VLOOKUP(B2,Table1[#All],3,FALSE)</f>
        <v>CallStart Main Menu/Pmts and Statements/request doc/ serviceType=requestDocs/ID Auth/ID Auth True,Finance Exception code=else/Say cancellation letter/Xfer</v>
      </c>
    </row>
    <row r="7" spans="1:5" ht="15.75">
      <c r="A7" s="96" t="s">
        <v>7</v>
      </c>
      <c r="B7" s="97" t="s">
        <v>8</v>
      </c>
      <c r="C7" s="98" t="s">
        <v>9</v>
      </c>
      <c r="D7" s="98" t="s">
        <v>14</v>
      </c>
      <c r="E7" s="99" t="s">
        <v>10</v>
      </c>
    </row>
    <row r="8" spans="1:5">
      <c r="A8" s="163">
        <v>1</v>
      </c>
      <c r="B8" s="110" t="s">
        <v>114</v>
      </c>
      <c r="C8" s="105" t="s">
        <v>125</v>
      </c>
      <c r="D8" s="125"/>
      <c r="E8" s="122" t="s">
        <v>11</v>
      </c>
    </row>
    <row r="9" spans="1:5">
      <c r="A9" s="159">
        <v>2</v>
      </c>
      <c r="B9" s="110" t="s">
        <v>115</v>
      </c>
      <c r="C9" s="105" t="str">
        <f>VLOOKUP(Table25755252691013434446474849565758596315[[#This Row],[PEG]],Table1016[#All],2,FALSE)</f>
        <v>CallID.wav Call ID &lt;CallID&gt;</v>
      </c>
      <c r="D9" s="145" t="s">
        <v>477</v>
      </c>
      <c r="E9" s="122" t="str">
        <f>VLOOKUP(Table25755252691013434446474849565758596315[[#This Row],[PEG]],Table1016[#All],3,FALSE)</f>
        <v>TEST</v>
      </c>
    </row>
    <row r="10" spans="1:5" ht="30">
      <c r="A10" s="159">
        <v>3</v>
      </c>
      <c r="B10" s="110" t="s">
        <v>115</v>
      </c>
      <c r="C10" s="105" t="str">
        <f>VLOOKUP(Table25755252691013434446474849565758596315[[#This Row],[PEG]],Table1016[#All],2,FALSE)</f>
        <v>0100.wav Thank you for calling Shell vacations Club, we are glad you called. Please have your account number available for faster service. [To continue in Spanish, press 9]</v>
      </c>
      <c r="D10" s="145">
        <v>100</v>
      </c>
      <c r="E10" s="122" t="str">
        <f>VLOOKUP(Table25755252691013434446474849565758596315[[#This Row],[PEG]],Table1016[#All],3,FALSE)</f>
        <v>PLAY PROMPT</v>
      </c>
    </row>
    <row r="11" spans="1:5" ht="30">
      <c r="A11" s="163">
        <v>4</v>
      </c>
      <c r="B11" s="110" t="s">
        <v>115</v>
      </c>
      <c r="C11" s="105" t="str">
        <f>VLOOKUP(Table25755252691013434446474849565758596315[[#This Row],[PEG]],Table1016[#All],2,FALSE)</f>
        <v>0110-1.wav Which would you like? You can say... reservations, payments &amp; statements, title &amp; ownership changes, or more options.</v>
      </c>
      <c r="D11" s="145">
        <v>110</v>
      </c>
      <c r="E11" s="122" t="str">
        <f>VLOOKUP(Table25755252691013434446474849565758596315[[#This Row],[PEG]],Table1016[#All],3,FALSE)</f>
        <v>MENU PROMPT</v>
      </c>
    </row>
    <row r="12" spans="1:5">
      <c r="A12" s="159">
        <v>5</v>
      </c>
      <c r="B12" s="110" t="s">
        <v>124</v>
      </c>
      <c r="C12" s="158" t="s">
        <v>574</v>
      </c>
      <c r="D12" s="145"/>
      <c r="E12" s="122" t="e">
        <f>VLOOKUP(Table25755252691013434446474849565758596315[[#This Row],[PEG]],Table1016[#All],3,FALSE)</f>
        <v>#N/A</v>
      </c>
    </row>
    <row r="13" spans="1:5" ht="30">
      <c r="A13" s="159">
        <v>6</v>
      </c>
      <c r="B13" s="110" t="s">
        <v>115</v>
      </c>
      <c r="C13" s="105" t="str">
        <f>VLOOKUP(Table25755252691013434446474849565758596315[[#This Row],[PEG]],Table1016[#All],2,FALSE)</f>
        <v>400.wav You can say make a payment, check account status, request a document, or more options. Which would you like?</v>
      </c>
      <c r="D13" s="145">
        <v>400</v>
      </c>
      <c r="E13" s="122" t="str">
        <f>VLOOKUP(Table25755252691013434446474849565758596315[[#This Row],[PEG]],Table1016[#All],3,FALSE)</f>
        <v>MENU PROMPT</v>
      </c>
    </row>
    <row r="14" spans="1:5">
      <c r="A14" s="163">
        <v>7</v>
      </c>
      <c r="B14" s="110" t="s">
        <v>124</v>
      </c>
      <c r="C14" s="151" t="s">
        <v>587</v>
      </c>
      <c r="D14" s="125"/>
      <c r="E14" s="122" t="e">
        <f>VLOOKUP(Table25755252691013434446474849565758596315[[#This Row],[PEG]],Table1016[#All],3,FALSE)</f>
        <v>#N/A</v>
      </c>
    </row>
    <row r="15" spans="1:5">
      <c r="A15" s="159">
        <v>8</v>
      </c>
      <c r="B15" s="110" t="s">
        <v>115</v>
      </c>
      <c r="C15" s="105" t="str">
        <f>VLOOKUP(Table25755252691013434446474849565758596315[[#This Row],[PEG]],Table1016[#All],2,FALSE)</f>
        <v>0200-1.wav To get started, what is your account number?</v>
      </c>
      <c r="D15" s="112">
        <v>200</v>
      </c>
      <c r="E15" s="122" t="str">
        <f>VLOOKUP(Table25755252691013434446474849565758596315[[#This Row],[PEG]],Table1016[#All],3,FALSE)</f>
        <v>MENU PROMPT</v>
      </c>
    </row>
    <row r="16" spans="1:5">
      <c r="A16" s="159">
        <v>9</v>
      </c>
      <c r="B16" s="110" t="s">
        <v>114</v>
      </c>
      <c r="C16" s="151" t="s">
        <v>515</v>
      </c>
      <c r="D16" s="112"/>
      <c r="E16" s="122" t="e">
        <f>VLOOKUP(Table25755252691013434446474849565758596315[[#This Row],[PEG]],Table1016[#All],3,FALSE)</f>
        <v>#N/A</v>
      </c>
    </row>
    <row r="17" spans="1:5">
      <c r="A17" s="163">
        <v>10</v>
      </c>
      <c r="B17" s="110" t="s">
        <v>115</v>
      </c>
      <c r="C17" s="105" t="str">
        <f>VLOOKUP(Table25755252691013434446474849565758596315[[#This Row],[PEG]],Table1016[#All],2,FALSE)</f>
        <v>0210-1.wav And the date of birth for the primary owner?</v>
      </c>
      <c r="D17" s="113">
        <v>210</v>
      </c>
      <c r="E17" s="122" t="str">
        <f>VLOOKUP(Table25755252691013434446474849565758596315[[#This Row],[PEG]],Table1016[#All],3,FALSE)</f>
        <v>MENU PROMPT</v>
      </c>
    </row>
    <row r="18" spans="1:5">
      <c r="A18" s="159">
        <v>11</v>
      </c>
      <c r="B18" s="110" t="s">
        <v>124</v>
      </c>
      <c r="C18" s="151" t="s">
        <v>524</v>
      </c>
      <c r="D18" s="113"/>
      <c r="E18" s="122" t="e">
        <f>VLOOKUP(Table25755252691013434446474849565758596315[[#This Row],[PEG]],Table1016[#All],3,FALSE)</f>
        <v>#N/A</v>
      </c>
    </row>
    <row r="19" spans="1:5" ht="30">
      <c r="A19" s="159">
        <v>12</v>
      </c>
      <c r="B19" s="110" t="s">
        <v>115</v>
      </c>
      <c r="C19" s="105" t="str">
        <f>VLOOKUP(Table25755252691013434446474849565758596315[[#This Row],[PEG]],Table1016[#All],2,FALSE)</f>
        <v xml:space="preserve">0470.wav Which document would you like? You can say pay-off quote, statements, cancellation letter or tax documents. </v>
      </c>
      <c r="D19" s="113">
        <v>470</v>
      </c>
      <c r="E19" s="122" t="str">
        <f>VLOOKUP(Table25755252691013434446474849565758596315[[#This Row],[PEG]],Table1016[#All],3,FALSE)</f>
        <v>MENU PROMPT</v>
      </c>
    </row>
    <row r="20" spans="1:5">
      <c r="A20" s="163">
        <v>13</v>
      </c>
      <c r="B20" s="110" t="s">
        <v>124</v>
      </c>
      <c r="C20" s="151" t="s">
        <v>586</v>
      </c>
      <c r="D20" s="113"/>
      <c r="E20" s="122" t="e">
        <f>VLOOKUP(Table25755252691013434446474849565758596315[[#This Row],[PEG]],Table1016[#All],3,FALSE)</f>
        <v>#N/A</v>
      </c>
    </row>
    <row r="21" spans="1:5" s="93" customFormat="1">
      <c r="A21" s="163">
        <v>14</v>
      </c>
      <c r="B21" s="110" t="s">
        <v>115</v>
      </c>
      <c r="C21" s="105" t="str">
        <f>VLOOKUP(Table25755252691013434446474849565758596315[[#This Row],[PEG]],Table1016[#All],2,FALSE)</f>
        <v>0475.wav Would you like me to send a copy of your cancellation letter to the address on file?</v>
      </c>
      <c r="D21" s="113">
        <v>475</v>
      </c>
      <c r="E21" s="122"/>
    </row>
    <row r="22" spans="1:5" s="93" customFormat="1">
      <c r="A22" s="163">
        <v>15</v>
      </c>
      <c r="B22" s="110" t="s">
        <v>124</v>
      </c>
      <c r="C22" s="162" t="s">
        <v>584</v>
      </c>
      <c r="D22" s="113"/>
      <c r="E22" s="122"/>
    </row>
    <row r="23" spans="1:5">
      <c r="A23" s="159">
        <v>16</v>
      </c>
      <c r="B23" s="110" t="s">
        <v>115</v>
      </c>
      <c r="C23" s="105" t="str">
        <f>VLOOKUP(Table25755252691013434446474849565758596315[[#This Row],[PEG]],Table1016[#All],2,FALSE)</f>
        <v>0900.wav Please hold, while I connect you to a customer service representative.</v>
      </c>
      <c r="D23" s="113">
        <v>900</v>
      </c>
      <c r="E23" s="122" t="str">
        <f>VLOOKUP(Table25755252691013434446474849565758596315[[#This Row],[PEG]],Table1016[#All],3,FALSE)</f>
        <v>PLAY PROMPT</v>
      </c>
    </row>
    <row r="24" spans="1:5">
      <c r="A24" s="159">
        <v>17</v>
      </c>
      <c r="B24" s="110" t="s">
        <v>115</v>
      </c>
      <c r="C24" s="105" t="str">
        <f>VLOOKUP(Table25755252691013434446474849565758596315[[#This Row],[PEG]],Table1016[#All],2,FALSE)</f>
        <v>XferNbr.wav Transfer Number &lt;TransferNbr&gt;</v>
      </c>
      <c r="D24" s="113" t="s">
        <v>480</v>
      </c>
      <c r="E24" s="122" t="str">
        <f>VLOOKUP(Table25755252691013434446474849565758596315[[#This Row],[PEG]],Table1016[#All],3,FALSE)</f>
        <v>TEST</v>
      </c>
    </row>
    <row r="25" spans="1:5">
      <c r="A25" s="114">
        <v>18</v>
      </c>
      <c r="B25" s="110" t="s">
        <v>13</v>
      </c>
      <c r="C25" s="17" t="s">
        <v>13</v>
      </c>
      <c r="D25" s="111"/>
      <c r="E25" s="31"/>
    </row>
    <row r="26" spans="1:5">
      <c r="C26" s="25"/>
      <c r="D26" s="107" t="s">
        <v>0</v>
      </c>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5"/>
    </row>
    <row r="39" spans="3:3">
      <c r="C39" s="25"/>
    </row>
    <row r="40" spans="3:3">
      <c r="C40" s="25"/>
    </row>
    <row r="41" spans="3:3">
      <c r="C41" s="26"/>
    </row>
    <row r="42" spans="3:3">
      <c r="C42" s="26"/>
    </row>
    <row r="43" spans="3:3">
      <c r="C43" s="26"/>
    </row>
  </sheetData>
  <mergeCells count="1">
    <mergeCell ref="A1:B1"/>
  </mergeCells>
  <conditionalFormatting sqref="B25">
    <cfRule type="containsText" dxfId="5726" priority="59" operator="containsText" text="Hear">
      <formula>NOT(ISERROR(SEARCH("Hear",B25)))</formula>
    </cfRule>
  </conditionalFormatting>
  <conditionalFormatting sqref="E25">
    <cfRule type="containsText" dxfId="5725" priority="57" operator="containsText" text="WEB SERVICE">
      <formula>NOT(ISERROR(SEARCH("WEB SERVICE",E25)))</formula>
    </cfRule>
    <cfRule type="containsText" dxfId="5724" priority="58" operator="containsText" text="DB">
      <formula>NOT(ISERROR(SEARCH("DB",E25)))</formula>
    </cfRule>
  </conditionalFormatting>
  <conditionalFormatting sqref="C25:C9982">
    <cfRule type="expression" dxfId="5723" priority="60">
      <formula>$B25="Dial"</formula>
    </cfRule>
    <cfRule type="expression" dxfId="5722" priority="62">
      <formula>$B25="HANGUP"</formula>
    </cfRule>
  </conditionalFormatting>
  <conditionalFormatting sqref="C25">
    <cfRule type="expression" dxfId="5721" priority="61">
      <formula>$B25="Speak"</formula>
    </cfRule>
  </conditionalFormatting>
  <conditionalFormatting sqref="B8">
    <cfRule type="containsText" dxfId="5720" priority="14" operator="containsText" text="Hear">
      <formula>NOT(ISERROR(SEARCH("Hear",B8)))</formula>
    </cfRule>
  </conditionalFormatting>
  <conditionalFormatting sqref="B9:B22">
    <cfRule type="containsText" dxfId="5719" priority="7" operator="containsText" text="Hear">
      <formula>NOT(ISERROR(SEARCH("Hear",B9)))</formula>
    </cfRule>
  </conditionalFormatting>
  <conditionalFormatting sqref="A9:A10 A12:A13 A15:A16 A18:A19 A23:A24">
    <cfRule type="containsText" dxfId="5718" priority="12" operator="containsText" text="Hear">
      <formula>NOT(ISERROR(SEARCH("Hear",A9)))</formula>
    </cfRule>
  </conditionalFormatting>
  <conditionalFormatting sqref="B23:B24">
    <cfRule type="containsText" dxfId="5717" priority="8" operator="containsText" text="Hear">
      <formula>NOT(ISERROR(SEARCH("Hear",B23)))</formula>
    </cfRule>
  </conditionalFormatting>
  <hyperlinks>
    <hyperlink ref="A1" location="'Test Case Overview'!A1" display="Return to Test Case Overview" xr:uid="{00000000-0004-0000-20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54" id="{0410CD08-A622-4247-9B6D-931291988BC0}">
            <xm:f>'TC1'!$B8="Dial"</xm:f>
            <x14:dxf>
              <font>
                <b/>
                <i val="0"/>
                <color rgb="FFFF0000"/>
              </font>
            </x14:dxf>
          </x14:cfRule>
          <x14:cfRule type="expression" priority="56" id="{5989A651-92F5-4F48-8E18-FB357B4ADC3A}">
            <xm:f>'TC1'!$B8="HANGUP"</xm:f>
            <x14:dxf>
              <font>
                <b/>
                <i val="0"/>
              </font>
            </x14:dxf>
          </x14:cfRule>
          <xm:sqref>C8</xm:sqref>
        </x14:conditionalFormatting>
        <x14:conditionalFormatting xmlns:xm="http://schemas.microsoft.com/office/excel/2006/main">
          <x14:cfRule type="expression" priority="55" id="{21E11288-86AC-4A6D-B526-D43B1CAC530A}">
            <xm:f>'TC1'!$B8="Speak"</xm:f>
            <x14:dxf>
              <font>
                <b/>
                <i val="0"/>
                <color rgb="FFFF0000"/>
              </font>
            </x14:dxf>
          </x14:cfRule>
          <xm:sqref>C8</xm:sqref>
        </x14:conditionalFormatting>
        <x14:conditionalFormatting xmlns:xm="http://schemas.microsoft.com/office/excel/2006/main">
          <x14:cfRule type="containsText" priority="51" operator="containsText" text="WEB SERVICE" id="{A63B1B9A-6477-4717-8B09-A9A62614D174}">
            <xm:f>NOT(ISERROR(SEARCH("WEB SERVICE",'TC1'!E10)))</xm:f>
            <x14:dxf>
              <font>
                <color rgb="FF9C0006"/>
              </font>
              <fill>
                <patternFill>
                  <bgColor rgb="FFFFC7CE"/>
                </patternFill>
              </fill>
            </x14:dxf>
          </x14:cfRule>
          <x14:cfRule type="containsText" priority="52" operator="containsText" text="DB" id="{9EF3019F-DD93-4D74-A843-28F8F8ACFFB0}">
            <xm:f>NOT(ISERROR(SEARCH("DB",'TC1'!E10)))</xm:f>
            <x14:dxf>
              <font>
                <color rgb="FF006100"/>
              </font>
              <fill>
                <patternFill>
                  <bgColor rgb="FFC6EFCE"/>
                </patternFill>
              </fill>
            </x14:dxf>
          </x14:cfRule>
          <xm:sqref>E9:E12</xm:sqref>
        </x14:conditionalFormatting>
        <x14:conditionalFormatting xmlns:xm="http://schemas.microsoft.com/office/excel/2006/main">
          <x14:cfRule type="expression" priority="946" id="{0410CD08-A622-4247-9B6D-931291988BC0}">
            <xm:f>'TC1'!#REF!="Dial"</xm:f>
            <x14:dxf>
              <font>
                <b/>
                <i val="0"/>
                <color rgb="FFFF0000"/>
              </font>
            </x14:dxf>
          </x14:cfRule>
          <x14:cfRule type="expression" priority="947" id="{5989A651-92F5-4F48-8E18-FB357B4ADC3A}">
            <xm:f>'TC1'!#REF!="HANGUP"</xm:f>
            <x14:dxf>
              <font>
                <b/>
                <i val="0"/>
              </font>
            </x14:dxf>
          </x14:cfRule>
          <xm:sqref>C13:C15 C17 C19:C24</xm:sqref>
        </x14:conditionalFormatting>
        <x14:conditionalFormatting xmlns:xm="http://schemas.microsoft.com/office/excel/2006/main">
          <x14:cfRule type="expression" priority="952" id="{21E11288-86AC-4A6D-B526-D43B1CAC530A}">
            <xm:f>'TC1'!#REF!="Speak"</xm:f>
            <x14:dxf>
              <font>
                <b/>
                <i val="0"/>
                <color rgb="FFFF0000"/>
              </font>
            </x14:dxf>
          </x14:cfRule>
          <xm:sqref>C13:C15 C17 C19:C24</xm:sqref>
        </x14:conditionalFormatting>
        <x14:conditionalFormatting xmlns:xm="http://schemas.microsoft.com/office/excel/2006/main">
          <x14:cfRule type="containsText" priority="958" operator="containsText" text="WEB SERVICE" id="{A63B1B9A-6477-4717-8B09-A9A62614D174}">
            <xm:f>NOT(ISERROR(SEARCH("WEB SERVICE",'TC1'!#REF!)))</xm:f>
            <x14:dxf>
              <font>
                <color rgb="FF9C0006"/>
              </font>
              <fill>
                <patternFill>
                  <bgColor rgb="FFFFC7CE"/>
                </patternFill>
              </fill>
            </x14:dxf>
          </x14:cfRule>
          <x14:cfRule type="containsText" priority="959" operator="containsText" text="DB" id="{9EF3019F-DD93-4D74-A843-28F8F8ACFFB0}">
            <xm:f>NOT(ISERROR(SEARCH("DB",'TC1'!#REF!)))</xm:f>
            <x14:dxf>
              <font>
                <color rgb="FF006100"/>
              </font>
              <fill>
                <patternFill>
                  <bgColor rgb="FFC6EFCE"/>
                </patternFill>
              </fill>
            </x14:dxf>
          </x14:cfRule>
          <xm:sqref>E13:E24</xm:sqref>
        </x14:conditionalFormatting>
        <x14:conditionalFormatting xmlns:xm="http://schemas.microsoft.com/office/excel/2006/main">
          <x14:cfRule type="expression" priority="3667" id="{0410CD08-A622-4247-9B6D-931291988BC0}">
            <xm:f>'TC1'!$B10="Dial"</xm:f>
            <x14:dxf>
              <font>
                <b/>
                <i val="0"/>
                <color rgb="FFFF0000"/>
              </font>
            </x14:dxf>
          </x14:cfRule>
          <x14:cfRule type="expression" priority="3668" id="{5989A651-92F5-4F48-8E18-FB357B4ADC3A}">
            <xm:f>'TC1'!$B10="HANGUP"</xm:f>
            <x14:dxf>
              <font>
                <b/>
                <i val="0"/>
              </font>
            </x14:dxf>
          </x14:cfRule>
          <xm:sqref>C9:C12</xm:sqref>
        </x14:conditionalFormatting>
        <x14:conditionalFormatting xmlns:xm="http://schemas.microsoft.com/office/excel/2006/main">
          <x14:cfRule type="expression" priority="3670" id="{21E11288-86AC-4A6D-B526-D43B1CAC530A}">
            <xm:f>'TC1'!$B10="Speak"</xm:f>
            <x14:dxf>
              <font>
                <b/>
                <i val="0"/>
                <color rgb="FFFF0000"/>
              </font>
            </x14:dxf>
          </x14:cfRule>
          <xm:sqref>C9:C12</xm:sqref>
        </x14:conditionalFormatting>
        <x14:conditionalFormatting xmlns:xm="http://schemas.microsoft.com/office/excel/2006/main">
          <x14:cfRule type="expression" priority="4" id="{19849207-E7CB-43D8-9DC9-E8C9C1760F91}">
            <xm:f>'\Users\deannah\Wyndham Testing\[Wyndham Destinations_TestCaseOverview_V3_Template.xlsx]TC1'!#REF!="HANGUP"</xm:f>
            <x14:dxf>
              <font>
                <b/>
                <i val="0"/>
              </font>
            </x14:dxf>
          </x14:cfRule>
          <x14:cfRule type="expression" priority="5" id="{5312A794-F52F-4062-AB25-ECB63A18573F}">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6" id="{E11FF2C7-1535-43EA-AD61-ABEAD2174733}">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1" id="{E89D0070-777B-4B5B-8871-1B70D1A8519D}">
            <xm:f>'\Users\deannah\Wyndham Testing\[Wyndham Destinations_TestCaseOverview_V3_Template.xlsx]TC1'!#REF!="HANGUP"</xm:f>
            <x14:dxf>
              <font>
                <b/>
                <i val="0"/>
              </font>
            </x14:dxf>
          </x14:cfRule>
          <x14:cfRule type="expression" priority="2" id="{FB0D2D56-197B-41E5-A6CA-A0400AB8CBE5}">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3" id="{74117205-8F18-4CFC-90D1-E86A773DBED7}">
            <xm:f>'\Users\deannah\Wyndham Testing\[Wyndham Destinations_TestCaseOverview_V3_Template.xlsx]TC1'!#REF!="Speak"</xm:f>
            <x14:dxf>
              <font>
                <b/>
                <i val="0"/>
                <color rgb="FFFF0000"/>
              </font>
            </x14:dxf>
          </x14:cfRule>
          <xm:sqref>C18</xm:sqref>
        </x14:conditionalFormatting>
      </x14:conditionalFormatting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dimension ref="A1:E44"/>
  <sheetViews>
    <sheetView zoomScaleNormal="100" workbookViewId="0">
      <selection activeCell="D9" sqref="D9:D13"/>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TC33</v>
      </c>
    </row>
    <row r="3" spans="1:5">
      <c r="A3" s="100" t="s">
        <v>19</v>
      </c>
      <c r="B3" s="108">
        <f ca="1">VLOOKUP(B2,Table1[#All],2,FALSE)</f>
        <v>0</v>
      </c>
    </row>
    <row r="4" spans="1:5" ht="60">
      <c r="A4" s="109" t="s">
        <v>20</v>
      </c>
      <c r="B4" s="95" t="str">
        <f ca="1">VLOOKUP(B2,Table1[#All],4,FALSE)</f>
        <v>serviceType=RequestDocs, 1098 msg not active, cancellation ltr status Cancelled=Yes, Say YES to send ltr to address on file. OFS07 fails (based on transaction code)</v>
      </c>
    </row>
    <row r="5" spans="1:5" ht="75">
      <c r="A5" s="100" t="s">
        <v>6</v>
      </c>
      <c r="B5" s="89" t="str">
        <f ca="1">VLOOKUP(B2,Table1[#All],3,FALSE)</f>
        <v>CallStart Main Menu/Pmts and Statements/request doc/ serviceType=requestDocs/ID Auth/ID Auth True,Finance Exception code=else/Say cancellation letter/Xfer</v>
      </c>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VLOOKUP(Table2575525269101343444647484956575859631518[[#This Row],[PEG]],Table1016[#All],2,FALSE)</f>
        <v>CallID.wav Call ID &lt;CallID&gt;</v>
      </c>
      <c r="D9" s="145" t="s">
        <v>477</v>
      </c>
      <c r="E9" s="122" t="str">
        <f>VLOOKUP(Table2575525269101343444647484956575859631518[[#This Row],[PEG]],Table1016[#All],3,FALSE)</f>
        <v>TEST</v>
      </c>
    </row>
    <row r="10" spans="1:5" ht="30">
      <c r="A10" s="114">
        <v>3</v>
      </c>
      <c r="B10" s="110" t="s">
        <v>115</v>
      </c>
      <c r="C10" s="105" t="str">
        <f>VLOOKUP(Table2575525269101343444647484956575859631518[[#This Row],[PEG]],Table1016[#All],2,FALSE)</f>
        <v>0100.wav Thank you for calling Shell vacations Club, we are glad you called. Please have your account number available for faster service. [To continue in Spanish, press 9]</v>
      </c>
      <c r="D10" s="145">
        <v>100</v>
      </c>
      <c r="E10" s="122" t="str">
        <f>VLOOKUP(Table2575525269101343444647484956575859631518[[#This Row],[PEG]],Table1016[#All],3,FALSE)</f>
        <v>PLAY PROMPT</v>
      </c>
    </row>
    <row r="11" spans="1:5" ht="30">
      <c r="A11" s="114">
        <v>4</v>
      </c>
      <c r="B11" s="110" t="s">
        <v>115</v>
      </c>
      <c r="C11" s="105" t="str">
        <f>VLOOKUP(Table2575525269101343444647484956575859631518[[#This Row],[PEG]],Table1016[#All],2,FALSE)</f>
        <v>0110-1.wav Which would you like? You can say... reservations, payments &amp; statements, title &amp; ownership changes, or more options.</v>
      </c>
      <c r="D11" s="145">
        <v>110</v>
      </c>
      <c r="E11" s="122" t="str">
        <f>VLOOKUP(Table2575525269101343444647484956575859631518[[#This Row],[PEG]],Table1016[#All],3,FALSE)</f>
        <v>MENU PROMPT</v>
      </c>
    </row>
    <row r="12" spans="1:5">
      <c r="A12" s="114">
        <v>5</v>
      </c>
      <c r="B12" s="110" t="s">
        <v>124</v>
      </c>
      <c r="C12" s="158" t="s">
        <v>574</v>
      </c>
      <c r="D12" s="145"/>
      <c r="E12" s="122" t="e">
        <f>VLOOKUP(Table2575525269101343444647484956575859631518[[#This Row],[PEG]],Table1016[#All],3,FALSE)</f>
        <v>#N/A</v>
      </c>
    </row>
    <row r="13" spans="1:5" ht="30">
      <c r="A13" s="114">
        <v>6</v>
      </c>
      <c r="B13" s="110" t="s">
        <v>115</v>
      </c>
      <c r="C13" s="105" t="str">
        <f>VLOOKUP(Table2575525269101343444647484956575859631518[[#This Row],[PEG]],Table1016[#All],2,FALSE)</f>
        <v>400.wav You can say make a payment, check account status, request a document, or more options. Which would you like?</v>
      </c>
      <c r="D13" s="145">
        <v>400</v>
      </c>
      <c r="E13" s="122" t="str">
        <f>VLOOKUP(Table2575525269101343444647484956575859631518[[#This Row],[PEG]],Table1016[#All],3,FALSE)</f>
        <v>MENU PROMPT</v>
      </c>
    </row>
    <row r="14" spans="1:5">
      <c r="A14" s="114">
        <v>7</v>
      </c>
      <c r="B14" s="110" t="s">
        <v>124</v>
      </c>
      <c r="C14" s="151" t="s">
        <v>587</v>
      </c>
      <c r="D14" s="125"/>
      <c r="E14" s="122" t="e">
        <f>VLOOKUP(Table2575525269101343444647484956575859631518[[#This Row],[PEG]],Table1016[#All],3,FALSE)</f>
        <v>#N/A</v>
      </c>
    </row>
    <row r="15" spans="1:5">
      <c r="A15" s="114">
        <v>8</v>
      </c>
      <c r="B15" s="110" t="s">
        <v>115</v>
      </c>
      <c r="C15" s="105" t="str">
        <f>VLOOKUP(Table2575525269101343444647484956575859631518[[#This Row],[PEG]],Table1016[#All],2,FALSE)</f>
        <v>0200-1.wav To get started, what is your account number?</v>
      </c>
      <c r="D15" s="112">
        <v>200</v>
      </c>
      <c r="E15" s="122" t="str">
        <f>VLOOKUP(Table2575525269101343444647484956575859631518[[#This Row],[PEG]],Table1016[#All],3,FALSE)</f>
        <v>MENU PROMPT</v>
      </c>
    </row>
    <row r="16" spans="1:5">
      <c r="A16" s="114">
        <v>9</v>
      </c>
      <c r="B16" s="110" t="s">
        <v>114</v>
      </c>
      <c r="C16" s="151" t="s">
        <v>515</v>
      </c>
      <c r="D16" s="112"/>
      <c r="E16" s="122" t="e">
        <f>VLOOKUP(Table2575525269101343444647484956575859631518[[#This Row],[PEG]],Table1016[#All],3,FALSE)</f>
        <v>#N/A</v>
      </c>
    </row>
    <row r="17" spans="1:5">
      <c r="A17" s="114">
        <v>10</v>
      </c>
      <c r="B17" s="110" t="s">
        <v>115</v>
      </c>
      <c r="C17" s="105" t="str">
        <f>VLOOKUP(Table2575525269101343444647484956575859631518[[#This Row],[PEG]],Table1016[#All],2,FALSE)</f>
        <v>0210-1.wav And the date of birth for the primary owner?</v>
      </c>
      <c r="D17" s="113">
        <v>210</v>
      </c>
      <c r="E17" s="122" t="str">
        <f>VLOOKUP(Table2575525269101343444647484956575859631518[[#This Row],[PEG]],Table1016[#All],3,FALSE)</f>
        <v>MENU PROMPT</v>
      </c>
    </row>
    <row r="18" spans="1:5">
      <c r="A18" s="114">
        <v>11</v>
      </c>
      <c r="B18" s="110" t="s">
        <v>124</v>
      </c>
      <c r="C18" s="151" t="s">
        <v>524</v>
      </c>
      <c r="D18" s="113"/>
      <c r="E18" s="122" t="e">
        <f>VLOOKUP(Table2575525269101343444647484956575859631518[[#This Row],[PEG]],Table1016[#All],3,FALSE)</f>
        <v>#N/A</v>
      </c>
    </row>
    <row r="19" spans="1:5" ht="30">
      <c r="A19" s="114">
        <v>12</v>
      </c>
      <c r="B19" s="110" t="s">
        <v>115</v>
      </c>
      <c r="C19" s="105" t="str">
        <f>VLOOKUP(Table2575525269101343444647484956575859631518[[#This Row],[PEG]],Table1016[#All],2,FALSE)</f>
        <v xml:space="preserve">0470.wav Which document would you like? You can say pay-off quote, statements, cancellation letter or tax documents. </v>
      </c>
      <c r="D19" s="113">
        <v>470</v>
      </c>
      <c r="E19" s="122" t="str">
        <f>VLOOKUP(Table2575525269101343444647484956575859631518[[#This Row],[PEG]],Table1016[#All],3,FALSE)</f>
        <v>MENU PROMPT</v>
      </c>
    </row>
    <row r="20" spans="1:5">
      <c r="A20" s="114">
        <v>13</v>
      </c>
      <c r="B20" s="110" t="s">
        <v>124</v>
      </c>
      <c r="C20" s="151" t="s">
        <v>586</v>
      </c>
      <c r="D20" s="113"/>
      <c r="E20" s="122" t="e">
        <f>VLOOKUP(Table2575525269101343444647484956575859631518[[#This Row],[PEG]],Table1016[#All],3,FALSE)</f>
        <v>#N/A</v>
      </c>
    </row>
    <row r="21" spans="1:5">
      <c r="A21" s="114">
        <v>14</v>
      </c>
      <c r="B21" s="110" t="s">
        <v>115</v>
      </c>
      <c r="C21" s="105" t="str">
        <f>VLOOKUP(Table2575525269101343444647484956575859631518[[#This Row],[PEG]],Table1016[#All],2,FALSE)</f>
        <v>0475.wav Would you like me to send a copy of your cancellation letter to the address on file?</v>
      </c>
      <c r="D21" s="113">
        <v>475</v>
      </c>
      <c r="E21" s="122" t="str">
        <f>VLOOKUP(Table2575525269101343444647484956575859631518[[#This Row],[PEG]],Table1016[#All],3,FALSE)</f>
        <v>MENU PROMPT</v>
      </c>
    </row>
    <row r="22" spans="1:5">
      <c r="A22" s="114">
        <v>15</v>
      </c>
      <c r="B22" s="110" t="s">
        <v>124</v>
      </c>
      <c r="C22" s="151" t="s">
        <v>582</v>
      </c>
      <c r="D22" s="113"/>
      <c r="E22" s="122" t="e">
        <f>VLOOKUP(Table2575525269101343444647484956575859631518[[#This Row],[PEG]],Table1016[#All],3,FALSE)</f>
        <v>#N/A</v>
      </c>
    </row>
    <row r="23" spans="1:5" s="93" customFormat="1">
      <c r="A23" s="114">
        <v>16</v>
      </c>
      <c r="B23" s="110" t="s">
        <v>115</v>
      </c>
      <c r="C23" s="105" t="str">
        <f>VLOOKUP(Table2575525269101343444647484956575859631518[[#This Row],[PEG]],Table1016[#All],2,FALSE)</f>
        <v>techDiff.wav I'm having trouble.</v>
      </c>
      <c r="D23" s="113" t="s">
        <v>209</v>
      </c>
      <c r="E23" s="122"/>
    </row>
    <row r="24" spans="1:5">
      <c r="A24" s="114">
        <v>17</v>
      </c>
      <c r="B24" s="110" t="s">
        <v>115</v>
      </c>
      <c r="C24" s="105" t="str">
        <f>VLOOKUP(Table2575525269101343444647484956575859631518[[#This Row],[PEG]],Table1016[#All],2,FALSE)</f>
        <v>0900.wav Please hold, while I connect you to a customer service representative.</v>
      </c>
      <c r="D24" s="113">
        <v>900</v>
      </c>
      <c r="E24" s="122" t="str">
        <f>VLOOKUP(Table2575525269101343444647484956575859631518[[#This Row],[PEG]],Table1016[#All],3,FALSE)</f>
        <v>PLAY PROMPT</v>
      </c>
    </row>
    <row r="25" spans="1:5">
      <c r="A25" s="114">
        <v>18</v>
      </c>
      <c r="B25" s="110" t="s">
        <v>115</v>
      </c>
      <c r="C25" s="105" t="str">
        <f>VLOOKUP(Table2575525269101343444647484956575859631518[[#This Row],[PEG]],Table1016[#All],2,FALSE)</f>
        <v>XferNbr.wav Transfer Number &lt;TransferNbr&gt;</v>
      </c>
      <c r="D25" s="113" t="s">
        <v>480</v>
      </c>
      <c r="E25" s="122" t="str">
        <f>VLOOKUP(Table2575525269101343444647484956575859631518[[#This Row],[PEG]],Table1016[#All],3,FALSE)</f>
        <v>TEST</v>
      </c>
    </row>
    <row r="26" spans="1:5">
      <c r="A26" s="114">
        <v>19</v>
      </c>
      <c r="B26" s="110" t="s">
        <v>13</v>
      </c>
      <c r="C26" s="17" t="s">
        <v>13</v>
      </c>
      <c r="D26" s="111"/>
      <c r="E26" s="31"/>
    </row>
    <row r="27" spans="1:5">
      <c r="C27" s="25"/>
      <c r="D27" s="107" t="s">
        <v>0</v>
      </c>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5"/>
    </row>
    <row r="39" spans="3:3">
      <c r="C39" s="25"/>
    </row>
    <row r="40" spans="3:3">
      <c r="C40" s="25"/>
    </row>
    <row r="41" spans="3:3">
      <c r="C41" s="25"/>
    </row>
    <row r="42" spans="3:3">
      <c r="C42" s="26"/>
    </row>
    <row r="43" spans="3:3">
      <c r="C43" s="26"/>
    </row>
    <row r="44" spans="3:3">
      <c r="C44" s="26"/>
    </row>
  </sheetData>
  <mergeCells count="1">
    <mergeCell ref="A1:B1"/>
  </mergeCells>
  <conditionalFormatting sqref="B26">
    <cfRule type="containsText" dxfId="5688" priority="43" operator="containsText" text="Hear">
      <formula>NOT(ISERROR(SEARCH("Hear",B26)))</formula>
    </cfRule>
  </conditionalFormatting>
  <conditionalFormatting sqref="E26">
    <cfRule type="containsText" dxfId="5687" priority="41" operator="containsText" text="WEB SERVICE">
      <formula>NOT(ISERROR(SEARCH("WEB SERVICE",E26)))</formula>
    </cfRule>
    <cfRule type="containsText" dxfId="5686" priority="42" operator="containsText" text="DB">
      <formula>NOT(ISERROR(SEARCH("DB",E26)))</formula>
    </cfRule>
  </conditionalFormatting>
  <conditionalFormatting sqref="C26:C9983">
    <cfRule type="expression" dxfId="5685" priority="44">
      <formula>$B26="Dial"</formula>
    </cfRule>
    <cfRule type="expression" dxfId="5684" priority="46">
      <formula>$B26="HANGUP"</formula>
    </cfRule>
  </conditionalFormatting>
  <conditionalFormatting sqref="C26">
    <cfRule type="expression" dxfId="5683" priority="45">
      <formula>$B26="Speak"</formula>
    </cfRule>
  </conditionalFormatting>
  <conditionalFormatting sqref="B8">
    <cfRule type="containsText" dxfId="5682" priority="9" operator="containsText" text="Hear">
      <formula>NOT(ISERROR(SEARCH("Hear",B8)))</formula>
    </cfRule>
  </conditionalFormatting>
  <conditionalFormatting sqref="B9:B23">
    <cfRule type="containsText" dxfId="5681" priority="7" operator="containsText" text="Hear">
      <formula>NOT(ISERROR(SEARCH("Hear",B9)))</formula>
    </cfRule>
  </conditionalFormatting>
  <conditionalFormatting sqref="B24:B25">
    <cfRule type="containsText" dxfId="5680" priority="8" operator="containsText" text="Hear">
      <formula>NOT(ISERROR(SEARCH("Hear",B24)))</formula>
    </cfRule>
  </conditionalFormatting>
  <hyperlinks>
    <hyperlink ref="A1" location="'Test Case Overview'!A1" display="Return to Test Case Overview" xr:uid="{00000000-0004-0000-21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35" id="{1207A0B6-E379-4521-AE3D-E4A5ADA11478}">
            <xm:f>'TC1'!$B8="HANGUP"</xm:f>
            <x14:dxf>
              <font>
                <b/>
                <i val="0"/>
              </font>
            </x14:dxf>
          </x14:cfRule>
          <x14:cfRule type="expression" priority="48" id="{BF5F32E5-6D9E-4685-B2FA-41379EAA8534}">
            <xm:f>'TC1'!$B8="Dial"</xm:f>
            <x14:dxf>
              <font>
                <b/>
                <i val="0"/>
                <color rgb="FFFF0000"/>
              </font>
            </x14:dxf>
          </x14:cfRule>
          <xm:sqref>C8</xm:sqref>
        </x14:conditionalFormatting>
        <x14:conditionalFormatting xmlns:xm="http://schemas.microsoft.com/office/excel/2006/main">
          <x14:cfRule type="expression" priority="49" id="{0C0BEAED-7D2D-4890-A6BC-A21EC6DB93F8}">
            <xm:f>'TC1'!$B8="Speak"</xm:f>
            <x14:dxf>
              <font>
                <b/>
                <i val="0"/>
                <color rgb="FFFF0000"/>
              </font>
            </x14:dxf>
          </x14:cfRule>
          <xm:sqref>C8</xm:sqref>
        </x14:conditionalFormatting>
        <x14:conditionalFormatting xmlns:xm="http://schemas.microsoft.com/office/excel/2006/main">
          <x14:cfRule type="containsText" priority="50" operator="containsText" text="WEB SERVICE" id="{4DDAA72A-E383-474D-9272-B710F979D83D}">
            <xm:f>NOT(ISERROR(SEARCH("WEB SERVICE",'TC1'!E10)))</xm:f>
            <x14:dxf>
              <font>
                <color rgb="FF9C0006"/>
              </font>
              <fill>
                <patternFill>
                  <bgColor rgb="FFFFC7CE"/>
                </patternFill>
              </fill>
            </x14:dxf>
          </x14:cfRule>
          <x14:cfRule type="containsText" priority="50" operator="containsText" text="DB" id="{2AC239B1-294A-4048-B5B2-65B23D8A4D46}">
            <xm:f>NOT(ISERROR(SEARCH("DB",'TC1'!E10)))</xm:f>
            <x14:dxf>
              <font>
                <color rgb="FF006100"/>
              </font>
              <fill>
                <patternFill>
                  <bgColor rgb="FFC6EFCE"/>
                </patternFill>
              </fill>
            </x14:dxf>
          </x14:cfRule>
          <xm:sqref>E9:E12</xm:sqref>
        </x14:conditionalFormatting>
        <x14:conditionalFormatting xmlns:xm="http://schemas.microsoft.com/office/excel/2006/main">
          <x14:cfRule type="expression" priority="961" id="{1207A0B6-E379-4521-AE3D-E4A5ADA11478}">
            <xm:f>'TC1'!#REF!="HANGUP"</xm:f>
            <x14:dxf>
              <font>
                <b/>
                <i val="0"/>
              </font>
            </x14:dxf>
          </x14:cfRule>
          <x14:cfRule type="expression" priority="962" id="{BF5F32E5-6D9E-4685-B2FA-41379EAA8534}">
            <xm:f>'TC1'!#REF!="Dial"</xm:f>
            <x14:dxf>
              <font>
                <b/>
                <i val="0"/>
                <color rgb="FFFF0000"/>
              </font>
            </x14:dxf>
          </x14:cfRule>
          <xm:sqref>C13:C15 C17 C19:C25</xm:sqref>
        </x14:conditionalFormatting>
        <x14:conditionalFormatting xmlns:xm="http://schemas.microsoft.com/office/excel/2006/main">
          <x14:cfRule type="expression" priority="967" id="{0C0BEAED-7D2D-4890-A6BC-A21EC6DB93F8}">
            <xm:f>'TC1'!#REF!="Speak"</xm:f>
            <x14:dxf>
              <font>
                <b/>
                <i val="0"/>
                <color rgb="FFFF0000"/>
              </font>
            </x14:dxf>
          </x14:cfRule>
          <xm:sqref>C13:C15 C17 C19:C25</xm:sqref>
        </x14:conditionalFormatting>
        <x14:conditionalFormatting xmlns:xm="http://schemas.microsoft.com/office/excel/2006/main">
          <x14:cfRule type="containsText" priority="973" operator="containsText" text="WEB SERVICE" id="{4DDAA72A-E383-474D-9272-B710F979D83D}">
            <xm:f>NOT(ISERROR(SEARCH("WEB SERVICE",'TC1'!#REF!)))</xm:f>
            <x14:dxf>
              <font>
                <color rgb="FF9C0006"/>
              </font>
              <fill>
                <patternFill>
                  <bgColor rgb="FFFFC7CE"/>
                </patternFill>
              </fill>
            </x14:dxf>
          </x14:cfRule>
          <x14:cfRule type="containsText" priority="974" operator="containsText" text="DB" id="{2AC239B1-294A-4048-B5B2-65B23D8A4D46}">
            <xm:f>NOT(ISERROR(SEARCH("DB",'TC1'!#REF!)))</xm:f>
            <x14:dxf>
              <font>
                <color rgb="FF006100"/>
              </font>
              <fill>
                <patternFill>
                  <bgColor rgb="FFC6EFCE"/>
                </patternFill>
              </fill>
            </x14:dxf>
          </x14:cfRule>
          <xm:sqref>E13:E25</xm:sqref>
        </x14:conditionalFormatting>
        <x14:conditionalFormatting xmlns:xm="http://schemas.microsoft.com/office/excel/2006/main">
          <x14:cfRule type="expression" priority="3670" id="{1207A0B6-E379-4521-AE3D-E4A5ADA11478}">
            <xm:f>'TC1'!$B10="HANGUP"</xm:f>
            <x14:dxf>
              <font>
                <b/>
                <i val="0"/>
              </font>
            </x14:dxf>
          </x14:cfRule>
          <x14:cfRule type="expression" priority="3671" id="{BF5F32E5-6D9E-4685-B2FA-41379EAA8534}">
            <xm:f>'TC1'!$B10="Dial"</xm:f>
            <x14:dxf>
              <font>
                <b/>
                <i val="0"/>
                <color rgb="FFFF0000"/>
              </font>
            </x14:dxf>
          </x14:cfRule>
          <xm:sqref>C9:C12</xm:sqref>
        </x14:conditionalFormatting>
        <x14:conditionalFormatting xmlns:xm="http://schemas.microsoft.com/office/excel/2006/main">
          <x14:cfRule type="expression" priority="3673" id="{0C0BEAED-7D2D-4890-A6BC-A21EC6DB93F8}">
            <xm:f>'TC1'!$B10="Speak"</xm:f>
            <x14:dxf>
              <font>
                <b/>
                <i val="0"/>
                <color rgb="FFFF0000"/>
              </font>
            </x14:dxf>
          </x14:cfRule>
          <xm:sqref>C9:C12</xm:sqref>
        </x14:conditionalFormatting>
        <x14:conditionalFormatting xmlns:xm="http://schemas.microsoft.com/office/excel/2006/main">
          <x14:cfRule type="expression" priority="4" id="{266E9770-B55A-433B-8870-0E8CBAE68DA8}">
            <xm:f>'\Users\deannah\Wyndham Testing\[Wyndham Destinations_TestCaseOverview_V3_Template.xlsx]TC1'!#REF!="HANGUP"</xm:f>
            <x14:dxf>
              <font>
                <b/>
                <i val="0"/>
              </font>
            </x14:dxf>
          </x14:cfRule>
          <x14:cfRule type="expression" priority="5" id="{A2B9BEC8-6A7B-4B63-8CE1-A12D329B562B}">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6" id="{E0EE9704-2DB4-4C1E-BB6E-905FCA061DB8}">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1" id="{C9B5648E-79A2-49FB-8509-A44F2BB36449}">
            <xm:f>'\Users\deannah\Wyndham Testing\[Wyndham Destinations_TestCaseOverview_V3_Template.xlsx]TC1'!#REF!="HANGUP"</xm:f>
            <x14:dxf>
              <font>
                <b/>
                <i val="0"/>
              </font>
            </x14:dxf>
          </x14:cfRule>
          <x14:cfRule type="expression" priority="2" id="{F1322C87-9988-4283-BF01-99C01D95FF47}">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3" id="{DC34A132-4925-4703-B515-C3C93BA861A9}">
            <xm:f>'\Users\deannah\Wyndham Testing\[Wyndham Destinations_TestCaseOverview_V3_Template.xlsx]TC1'!#REF!="Speak"</xm:f>
            <x14:dxf>
              <font>
                <b/>
                <i val="0"/>
                <color rgb="FFFF0000"/>
              </font>
            </x14:dxf>
          </x14:cfRule>
          <xm:sqref>C18</xm:sqref>
        </x14:conditionalFormatting>
      </x14:conditionalFormatting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dimension ref="A1:E43"/>
  <sheetViews>
    <sheetView zoomScaleNormal="100" workbookViewId="0">
      <selection activeCell="C4" sqref="C4"/>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TC34</v>
      </c>
    </row>
    <row r="3" spans="1:5">
      <c r="A3" s="100" t="s">
        <v>19</v>
      </c>
      <c r="B3" s="108">
        <f ca="1">VLOOKUP(B2,Table1[#All],2,FALSE)</f>
        <v>0</v>
      </c>
    </row>
    <row r="4" spans="1:5" ht="30">
      <c r="A4" s="109" t="s">
        <v>20</v>
      </c>
      <c r="B4" s="95" t="str">
        <f ca="1">VLOOKUP(B2,Table1[#All],4,FALSE)</f>
        <v xml:space="preserve">serviceType=RequestDocs, 1098 msg not active, Statement/annual </v>
      </c>
    </row>
    <row r="5" spans="1:5" ht="75">
      <c r="A5" s="100" t="s">
        <v>6</v>
      </c>
      <c r="B5" s="89" t="str">
        <f ca="1">VLOOKUP(B2,Table1[#All],3,FALSE)</f>
        <v>CallStart Main Menu/Pmts and Statements/request doc/ serviceType=requestDocs/ID Auth/ID Auth True,Finance Exception code=else/Statement/ else/Xfer</v>
      </c>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VLOOKUP(Table257552526910134344464748495657585963151817[[#This Row],[PEG]],Table1016[#All],2,FALSE)</f>
        <v>CallID.wav Call ID &lt;CallID&gt;</v>
      </c>
      <c r="D9" s="149" t="s">
        <v>477</v>
      </c>
      <c r="E9" s="122" t="str">
        <f>VLOOKUP(Table257552526910134344464748495657585963151817[[#This Row],[PEG]],Table1016[#All],3,FALSE)</f>
        <v>TEST</v>
      </c>
    </row>
    <row r="10" spans="1:5" ht="30">
      <c r="A10" s="114">
        <v>3</v>
      </c>
      <c r="B10" s="110" t="s">
        <v>115</v>
      </c>
      <c r="C10" s="105" t="str">
        <f>VLOOKUP(Table257552526910134344464748495657585963151817[[#This Row],[PEG]],Table1016[#All],2,FALSE)</f>
        <v>0100.wav Thank you for calling Shell vacations Club, we are glad you called. Please have your account number available for faster service. [To continue in Spanish, press 9]</v>
      </c>
      <c r="D10" s="149">
        <v>100</v>
      </c>
      <c r="E10" s="122" t="str">
        <f>VLOOKUP(Table257552526910134344464748495657585963151817[[#This Row],[PEG]],Table1016[#All],3,FALSE)</f>
        <v>PLAY PROMPT</v>
      </c>
    </row>
    <row r="11" spans="1:5" ht="30">
      <c r="A11" s="114">
        <v>4</v>
      </c>
      <c r="B11" s="110" t="s">
        <v>115</v>
      </c>
      <c r="C11" s="105" t="str">
        <f>VLOOKUP(Table257552526910134344464748495657585963151817[[#This Row],[PEG]],Table1016[#All],2,FALSE)</f>
        <v>0110-1.wav Which would you like? You can say... reservations, payments &amp; statements, title &amp; ownership changes, or more options.</v>
      </c>
      <c r="D11" s="149">
        <v>110</v>
      </c>
      <c r="E11" s="122" t="str">
        <f>VLOOKUP(Table257552526910134344464748495657585963151817[[#This Row],[PEG]],Table1016[#All],3,FALSE)</f>
        <v>MENU PROMPT</v>
      </c>
    </row>
    <row r="12" spans="1:5">
      <c r="A12" s="114">
        <v>5</v>
      </c>
      <c r="B12" s="110" t="s">
        <v>124</v>
      </c>
      <c r="C12" s="158" t="s">
        <v>564</v>
      </c>
      <c r="D12" s="149"/>
      <c r="E12" s="122" t="e">
        <f>VLOOKUP(Table257552526910134344464748495657585963151817[[#This Row],[PEG]],Table1016[#All],3,FALSE)</f>
        <v>#N/A</v>
      </c>
    </row>
    <row r="13" spans="1:5" ht="30">
      <c r="A13" s="114">
        <v>6</v>
      </c>
      <c r="B13" s="110" t="s">
        <v>115</v>
      </c>
      <c r="C13" s="105" t="str">
        <f>VLOOKUP(Table257552526910134344464748495657585963151817[[#This Row],[PEG]],Table1016[#All],2,FALSE)</f>
        <v>400.wav You can say make a payment, check account status, request a document, or more options. Which would you like?</v>
      </c>
      <c r="D13" s="149">
        <v>400</v>
      </c>
      <c r="E13" s="122" t="str">
        <f>VLOOKUP(Table257552526910134344464748495657585963151817[[#This Row],[PEG]],Table1016[#All],3,FALSE)</f>
        <v>MENU PROMPT</v>
      </c>
    </row>
    <row r="14" spans="1:5">
      <c r="A14" s="114">
        <v>7</v>
      </c>
      <c r="B14" s="110" t="s">
        <v>124</v>
      </c>
      <c r="C14" s="151" t="s">
        <v>587</v>
      </c>
      <c r="D14" s="125"/>
      <c r="E14" s="122" t="e">
        <f>VLOOKUP(Table257552526910134344464748495657585963151817[[#This Row],[PEG]],Table1016[#All],3,FALSE)</f>
        <v>#N/A</v>
      </c>
    </row>
    <row r="15" spans="1:5">
      <c r="A15" s="114">
        <v>8</v>
      </c>
      <c r="B15" s="110" t="s">
        <v>115</v>
      </c>
      <c r="C15" s="105" t="str">
        <f>VLOOKUP(Table257552526910134344464748495657585963151817[[#This Row],[PEG]],Table1016[#All],2,FALSE)</f>
        <v>0200-1.wav To get started, what is your account number?</v>
      </c>
      <c r="D15" s="112">
        <v>200</v>
      </c>
      <c r="E15" s="122" t="str">
        <f>VLOOKUP(Table257552526910134344464748495657585963151817[[#This Row],[PEG]],Table1016[#All],3,FALSE)</f>
        <v>MENU PROMPT</v>
      </c>
    </row>
    <row r="16" spans="1:5">
      <c r="A16" s="114">
        <v>9</v>
      </c>
      <c r="B16" s="110" t="s">
        <v>114</v>
      </c>
      <c r="C16" s="151" t="s">
        <v>515</v>
      </c>
      <c r="D16" s="112"/>
      <c r="E16" s="122" t="e">
        <f>VLOOKUP(Table257552526910134344464748495657585963151817[[#This Row],[PEG]],Table1016[#All],3,FALSE)</f>
        <v>#N/A</v>
      </c>
    </row>
    <row r="17" spans="1:5">
      <c r="A17" s="114">
        <v>10</v>
      </c>
      <c r="B17" s="110" t="s">
        <v>115</v>
      </c>
      <c r="C17" s="105" t="str">
        <f>VLOOKUP(Table257552526910134344464748495657585963151817[[#This Row],[PEG]],Table1016[#All],2,FALSE)</f>
        <v>0210-1.wav And the date of birth for the primary owner?</v>
      </c>
      <c r="D17" s="113">
        <v>210</v>
      </c>
      <c r="E17" s="122" t="str">
        <f>VLOOKUP(Table257552526910134344464748495657585963151817[[#This Row],[PEG]],Table1016[#All],3,FALSE)</f>
        <v>MENU PROMPT</v>
      </c>
    </row>
    <row r="18" spans="1:5">
      <c r="A18" s="114">
        <v>11</v>
      </c>
      <c r="B18" s="110" t="s">
        <v>124</v>
      </c>
      <c r="C18" s="151" t="s">
        <v>524</v>
      </c>
      <c r="D18" s="113"/>
      <c r="E18" s="122" t="e">
        <f>VLOOKUP(Table257552526910134344464748495657585963151817[[#This Row],[PEG]],Table1016[#All],3,FALSE)</f>
        <v>#N/A</v>
      </c>
    </row>
    <row r="19" spans="1:5" ht="30">
      <c r="A19" s="114">
        <v>12</v>
      </c>
      <c r="B19" s="110" t="s">
        <v>115</v>
      </c>
      <c r="C19" s="105" t="str">
        <f>VLOOKUP(Table257552526910134344464748495657585963151817[[#This Row],[PEG]],Table1016[#All],2,FALSE)</f>
        <v xml:space="preserve">0470.wav Which document would you like? You can say pay-off quote, statements, cancellation letter or tax documents. </v>
      </c>
      <c r="D19" s="113">
        <v>470</v>
      </c>
      <c r="E19" s="122" t="str">
        <f>VLOOKUP(Table257552526910134344464748495657585963151817[[#This Row],[PEG]],Table1016[#All],3,FALSE)</f>
        <v>MENU PROMPT</v>
      </c>
    </row>
    <row r="20" spans="1:5">
      <c r="A20" s="114">
        <v>13</v>
      </c>
      <c r="B20" s="110" t="s">
        <v>124</v>
      </c>
      <c r="C20" s="151" t="s">
        <v>564</v>
      </c>
      <c r="D20" s="113"/>
      <c r="E20" s="122" t="e">
        <f>VLOOKUP(Table257552526910134344464748495657585963151817[[#This Row],[PEG]],Table1016[#All],3,FALSE)</f>
        <v>#N/A</v>
      </c>
    </row>
    <row r="21" spans="1:5" ht="30">
      <c r="A21" s="114">
        <v>14</v>
      </c>
      <c r="B21" s="110" t="s">
        <v>115</v>
      </c>
      <c r="C21" s="105" t="str">
        <f>VLOOKUP(Table257552526910134344464748495657585963151817[[#This Row],[PEG]],Table1016[#All],2,FALSE)</f>
        <v>0480.wav I can send you a copy of your most recent annual statement, or a copy of your most recent monthly statement. Which one would you like, annual or monthly?</v>
      </c>
      <c r="D21" s="113">
        <v>480</v>
      </c>
      <c r="E21" s="122" t="str">
        <f>VLOOKUP(Table257552526910134344464748495657585963151817[[#This Row],[PEG]],Table1016[#All],3,FALSE)</f>
        <v>MENU PROMPT</v>
      </c>
    </row>
    <row r="22" spans="1:5">
      <c r="A22" s="114">
        <v>15</v>
      </c>
      <c r="B22" s="110" t="s">
        <v>124</v>
      </c>
      <c r="C22" s="151" t="s">
        <v>633</v>
      </c>
      <c r="D22" s="113"/>
      <c r="E22" s="122" t="e">
        <f>VLOOKUP(Table257552526910134344464748495657585963151817[[#This Row],[PEG]],Table1016[#All],3,FALSE)</f>
        <v>#N/A</v>
      </c>
    </row>
    <row r="23" spans="1:5">
      <c r="A23" s="114">
        <v>16</v>
      </c>
      <c r="B23" s="110" t="s">
        <v>115</v>
      </c>
      <c r="C23" s="105" t="str">
        <f>VLOOKUP(Table257552526910134344464748495657585963151817[[#This Row],[PEG]],Table1016[#All],2,FALSE)</f>
        <v>0900.wav Please hold, while I connect you to a customer service representative.</v>
      </c>
      <c r="D23" s="113">
        <v>900</v>
      </c>
      <c r="E23" s="122" t="str">
        <f>VLOOKUP(Table257552526910134344464748495657585963151817[[#This Row],[PEG]],Table1016[#All],3,FALSE)</f>
        <v>PLAY PROMPT</v>
      </c>
    </row>
    <row r="24" spans="1:5">
      <c r="A24" s="114">
        <v>17</v>
      </c>
      <c r="B24" s="110" t="s">
        <v>115</v>
      </c>
      <c r="C24" s="105" t="str">
        <f>VLOOKUP(Table257552526910134344464748495657585963151817[[#This Row],[PEG]],Table1016[#All],2,FALSE)</f>
        <v>XferNbr.wav Transfer Number &lt;TransferNbr&gt;</v>
      </c>
      <c r="D24" s="113" t="s">
        <v>480</v>
      </c>
      <c r="E24" s="122" t="str">
        <f>VLOOKUP(Table257552526910134344464748495657585963151817[[#This Row],[PEG]],Table1016[#All],3,FALSE)</f>
        <v>TEST</v>
      </c>
    </row>
    <row r="25" spans="1:5">
      <c r="A25" s="114">
        <v>18</v>
      </c>
      <c r="B25" s="110" t="s">
        <v>13</v>
      </c>
      <c r="C25" s="17" t="s">
        <v>13</v>
      </c>
      <c r="D25" s="111"/>
      <c r="E25" s="31"/>
    </row>
    <row r="26" spans="1:5">
      <c r="C26" s="25"/>
      <c r="D26" s="107" t="s">
        <v>0</v>
      </c>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5"/>
    </row>
    <row r="39" spans="3:3">
      <c r="C39" s="25"/>
    </row>
    <row r="40" spans="3:3">
      <c r="C40" s="25"/>
    </row>
    <row r="41" spans="3:3">
      <c r="C41" s="26"/>
    </row>
    <row r="42" spans="3:3">
      <c r="C42" s="26"/>
    </row>
    <row r="43" spans="3:3">
      <c r="C43" s="26"/>
    </row>
  </sheetData>
  <mergeCells count="1">
    <mergeCell ref="A1:B1"/>
  </mergeCells>
  <conditionalFormatting sqref="B23:B25">
    <cfRule type="containsText" dxfId="5651" priority="33" operator="containsText" text="Hear">
      <formula>NOT(ISERROR(SEARCH("Hear",B23)))</formula>
    </cfRule>
  </conditionalFormatting>
  <conditionalFormatting sqref="E25">
    <cfRule type="containsText" dxfId="5650" priority="31" operator="containsText" text="WEB SERVICE">
      <formula>NOT(ISERROR(SEARCH("WEB SERVICE",E25)))</formula>
    </cfRule>
    <cfRule type="containsText" dxfId="5649" priority="32" operator="containsText" text="DB">
      <formula>NOT(ISERROR(SEARCH("DB",E25)))</formula>
    </cfRule>
  </conditionalFormatting>
  <conditionalFormatting sqref="C25:C9982">
    <cfRule type="expression" dxfId="5648" priority="34">
      <formula>$B25="Dial"</formula>
    </cfRule>
    <cfRule type="expression" dxfId="5647" priority="36">
      <formula>$B25="HANGUP"</formula>
    </cfRule>
  </conditionalFormatting>
  <conditionalFormatting sqref="C25">
    <cfRule type="expression" dxfId="5646" priority="35">
      <formula>$B25="Speak"</formula>
    </cfRule>
  </conditionalFormatting>
  <conditionalFormatting sqref="B8 B19:B22">
    <cfRule type="containsText" dxfId="5645" priority="8" operator="containsText" text="Hear">
      <formula>NOT(ISERROR(SEARCH("Hear",B8)))</formula>
    </cfRule>
  </conditionalFormatting>
  <conditionalFormatting sqref="B9:B18">
    <cfRule type="containsText" dxfId="5644" priority="7" operator="containsText" text="Hear">
      <formula>NOT(ISERROR(SEARCH("Hear",B9)))</formula>
    </cfRule>
  </conditionalFormatting>
  <hyperlinks>
    <hyperlink ref="A1" location="'Test Case Overview'!A1" display="Return to Test Case Overview" xr:uid="{00000000-0004-0000-22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30" id="{37CF230C-5EC6-429B-99A0-7EDC1905A17B}">
            <xm:f>'TC1'!$B8="HANGUP"</xm:f>
            <x14:dxf>
              <font>
                <b/>
                <i val="0"/>
              </font>
            </x14:dxf>
          </x14:cfRule>
          <x14:cfRule type="expression" priority="38" id="{C1920043-F91E-45E0-BCAB-7281832DFA68}">
            <xm:f>'TC1'!$B8="Dial"</xm:f>
            <x14:dxf>
              <font>
                <b/>
                <i val="0"/>
                <color rgb="FFFF0000"/>
              </font>
            </x14:dxf>
          </x14:cfRule>
          <xm:sqref>C8</xm:sqref>
        </x14:conditionalFormatting>
        <x14:conditionalFormatting xmlns:xm="http://schemas.microsoft.com/office/excel/2006/main">
          <x14:cfRule type="expression" priority="39" id="{DE673ADE-BA72-47BD-BF25-649258481124}">
            <xm:f>'TC1'!$B8="Speak"</xm:f>
            <x14:dxf>
              <font>
                <b/>
                <i val="0"/>
                <color rgb="FFFF0000"/>
              </font>
            </x14:dxf>
          </x14:cfRule>
          <xm:sqref>C8</xm:sqref>
        </x14:conditionalFormatting>
        <x14:conditionalFormatting xmlns:xm="http://schemas.microsoft.com/office/excel/2006/main">
          <x14:cfRule type="containsText" priority="40" operator="containsText" text="WEB SERVICE" id="{1A8673C9-EEC4-41D0-B136-FC12DCA37CAE}">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978" id="{37CF230C-5EC6-429B-99A0-7EDC1905A17B}">
            <xm:f>'TC1'!#REF!="HANGUP"</xm:f>
            <x14:dxf>
              <font>
                <b/>
                <i val="0"/>
              </font>
            </x14:dxf>
          </x14:cfRule>
          <x14:cfRule type="expression" priority="979" id="{C1920043-F91E-45E0-BCAB-7281832DFA68}">
            <xm:f>'TC1'!#REF!="Dial"</xm:f>
            <x14:dxf>
              <font>
                <b/>
                <i val="0"/>
                <color rgb="FFFF0000"/>
              </font>
            </x14:dxf>
          </x14:cfRule>
          <xm:sqref>C13:C15 C17 C19:C24</xm:sqref>
        </x14:conditionalFormatting>
        <x14:conditionalFormatting xmlns:xm="http://schemas.microsoft.com/office/excel/2006/main">
          <x14:cfRule type="expression" priority="984" id="{DE673ADE-BA72-47BD-BF25-649258481124}">
            <xm:f>'TC1'!#REF!="Speak"</xm:f>
            <x14:dxf>
              <font>
                <b/>
                <i val="0"/>
                <color rgb="FFFF0000"/>
              </font>
            </x14:dxf>
          </x14:cfRule>
          <xm:sqref>C13:C15 C17 C19:C24</xm:sqref>
        </x14:conditionalFormatting>
        <x14:conditionalFormatting xmlns:xm="http://schemas.microsoft.com/office/excel/2006/main">
          <x14:cfRule type="containsText" priority="988" operator="containsText" text="WEB SERVICE" id="{1A8673C9-EEC4-41D0-B136-FC12DCA37CAE}">
            <xm:f>NOT(ISERROR(SEARCH("WEB SERVICE",'TC1'!#REF!)))</xm:f>
            <x14:dxf>
              <font>
                <color rgb="FF9C0006"/>
              </font>
              <fill>
                <patternFill>
                  <bgColor rgb="FFFFC7CE"/>
                </patternFill>
              </fill>
            </x14:dxf>
          </x14:cfRule>
          <xm:sqref>E13:E24</xm:sqref>
        </x14:conditionalFormatting>
        <x14:conditionalFormatting xmlns:xm="http://schemas.microsoft.com/office/excel/2006/main">
          <x14:cfRule type="expression" priority="3675" id="{37CF230C-5EC6-429B-99A0-7EDC1905A17B}">
            <xm:f>'TC1'!$B10="HANGUP"</xm:f>
            <x14:dxf>
              <font>
                <b/>
                <i val="0"/>
              </font>
            </x14:dxf>
          </x14:cfRule>
          <x14:cfRule type="expression" priority="3676" id="{C1920043-F91E-45E0-BCAB-7281832DFA68}">
            <xm:f>'TC1'!$B10="Dial"</xm:f>
            <x14:dxf>
              <font>
                <b/>
                <i val="0"/>
                <color rgb="FFFF0000"/>
              </font>
            </x14:dxf>
          </x14:cfRule>
          <xm:sqref>C9:C12</xm:sqref>
        </x14:conditionalFormatting>
        <x14:conditionalFormatting xmlns:xm="http://schemas.microsoft.com/office/excel/2006/main">
          <x14:cfRule type="expression" priority="3678" id="{DE673ADE-BA72-47BD-BF25-649258481124}">
            <xm:f>'TC1'!$B10="Speak"</xm:f>
            <x14:dxf>
              <font>
                <b/>
                <i val="0"/>
                <color rgb="FFFF0000"/>
              </font>
            </x14:dxf>
          </x14:cfRule>
          <xm:sqref>C9:C12</xm:sqref>
        </x14:conditionalFormatting>
        <x14:conditionalFormatting xmlns:xm="http://schemas.microsoft.com/office/excel/2006/main">
          <x14:cfRule type="expression" priority="4" id="{9F30BF7A-ED3A-40AE-96A9-199D1BF35D27}">
            <xm:f>'\Users\deannah\Wyndham Testing\[Wyndham Destinations_TestCaseOverview_V3_Template.xlsx]TC1'!#REF!="HANGUP"</xm:f>
            <x14:dxf>
              <font>
                <b/>
                <i val="0"/>
              </font>
            </x14:dxf>
          </x14:cfRule>
          <x14:cfRule type="expression" priority="5" id="{EE3B3B38-89D2-4277-981F-4BC0D931D2C0}">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6" id="{58743D3D-80EC-4DAB-8320-9EB38BF31519}">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1" id="{C2827987-A18B-44BA-94B5-60F1053E5109}">
            <xm:f>'\Users\deannah\Wyndham Testing\[Wyndham Destinations_TestCaseOverview_V3_Template.xlsx]TC1'!#REF!="HANGUP"</xm:f>
            <x14:dxf>
              <font>
                <b/>
                <i val="0"/>
              </font>
            </x14:dxf>
          </x14:cfRule>
          <x14:cfRule type="expression" priority="2" id="{6E9EF7B3-23F2-41D2-993C-9D06917C0E18}">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3" id="{E0CD8AE5-4864-40EC-A01E-4EC13FCF96BE}">
            <xm:f>'\Users\deannah\Wyndham Testing\[Wyndham Destinations_TestCaseOverview_V3_Template.xlsx]TC1'!#REF!="Speak"</xm:f>
            <x14:dxf>
              <font>
                <b/>
                <i val="0"/>
                <color rgb="FFFF0000"/>
              </font>
            </x14:dxf>
          </x14:cfRule>
          <xm:sqref>C18</xm:sqref>
        </x14:conditionalFormatting>
      </x14:conditionalFormatting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dimension ref="A1:E44"/>
  <sheetViews>
    <sheetView zoomScaleNormal="100" workbookViewId="0">
      <selection activeCell="C18" sqref="C18"/>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TC35</v>
      </c>
    </row>
    <row r="3" spans="1:5">
      <c r="A3" s="100" t="s">
        <v>19</v>
      </c>
      <c r="B3" s="108">
        <f ca="1">VLOOKUP(B2,Table1[#All],2,FALSE)</f>
        <v>0</v>
      </c>
    </row>
    <row r="4" spans="1:5" ht="60">
      <c r="A4" s="109" t="s">
        <v>20</v>
      </c>
      <c r="B4" s="95" t="str">
        <f ca="1">VLOOKUP(B2,Table1[#All],4,FALSE)</f>
        <v>serviceType=RequestDocs, 1098 msg not active, Statement/else (not annual or monthly) OFS07 fails (based on transaction code)</v>
      </c>
    </row>
    <row r="5" spans="1:5" ht="75">
      <c r="A5" s="100" t="s">
        <v>6</v>
      </c>
      <c r="B5" s="89" t="str">
        <f ca="1">VLOOKUP(B2,Table1[#All],3,FALSE)</f>
        <v>CallStart Main Menu/Pmts and Statements/request doc/ serviceType=requestDocs/ID Auth/ID Auth True,Finance Exception code=else/Statement/ annual/Xfer</v>
      </c>
    </row>
    <row r="7" spans="1:5" ht="15.75">
      <c r="A7" s="96" t="s">
        <v>7</v>
      </c>
      <c r="B7" s="97" t="s">
        <v>8</v>
      </c>
      <c r="C7" s="98" t="s">
        <v>9</v>
      </c>
      <c r="D7" s="98" t="s">
        <v>14</v>
      </c>
      <c r="E7" s="99" t="s">
        <v>10</v>
      </c>
    </row>
    <row r="8" spans="1:5">
      <c r="A8" s="114">
        <v>1</v>
      </c>
      <c r="B8" s="110" t="s">
        <v>114</v>
      </c>
      <c r="C8" s="105" t="s">
        <v>125</v>
      </c>
      <c r="D8" s="149"/>
      <c r="E8" s="122" t="s">
        <v>11</v>
      </c>
    </row>
    <row r="9" spans="1:5" s="93" customFormat="1">
      <c r="A9" s="114">
        <v>2</v>
      </c>
      <c r="B9" s="110" t="s">
        <v>115</v>
      </c>
      <c r="C9" s="105" t="str">
        <f>VLOOKUP(Table25755252691013434446474849565758596315181719[[#This Row],[PEG]],Table1016[#All],2,FALSE)</f>
        <v>CallID.wav Call ID &lt;CallID&gt;</v>
      </c>
      <c r="D9" s="149" t="s">
        <v>477</v>
      </c>
      <c r="E9" s="122"/>
    </row>
    <row r="10" spans="1:5" ht="30">
      <c r="A10" s="114">
        <v>3</v>
      </c>
      <c r="B10" s="110" t="s">
        <v>115</v>
      </c>
      <c r="C10" s="105" t="str">
        <f>VLOOKUP(Table25755252691013434446474849565758596315181719[[#This Row],[PEG]],Table1016[#All],2,FALSE)</f>
        <v>0100.wav Thank you for calling Shell vacations Club, we are glad you called. Please have your account number available for faster service. [To continue in Spanish, press 9]</v>
      </c>
      <c r="D10" s="149">
        <v>100</v>
      </c>
      <c r="E10" s="122" t="str">
        <f>VLOOKUP(Table25755252691013434446474849565758596315181719[[#This Row],[PEG]],Table1016[#All],3,FALSE)</f>
        <v>PLAY PROMPT</v>
      </c>
    </row>
    <row r="11" spans="1:5" ht="30">
      <c r="A11" s="114">
        <v>4</v>
      </c>
      <c r="B11" s="110" t="s">
        <v>115</v>
      </c>
      <c r="C11" s="105" t="str">
        <f>VLOOKUP(Table25755252691013434446474849565758596315181719[[#This Row],[PEG]],Table1016[#All],2,FALSE)</f>
        <v>0110-1.wav Which would you like? You can say... reservations, payments &amp; statements, title &amp; ownership changes, or more options.</v>
      </c>
      <c r="D11" s="149">
        <v>110</v>
      </c>
      <c r="E11" s="122" t="str">
        <f>VLOOKUP(Table25755252691013434446474849565758596315181719[[#This Row],[PEG]],Table1016[#All],3,FALSE)</f>
        <v>MENU PROMPT</v>
      </c>
    </row>
    <row r="12" spans="1:5">
      <c r="A12" s="114">
        <v>5</v>
      </c>
      <c r="B12" s="110" t="s">
        <v>124</v>
      </c>
      <c r="C12" s="158" t="s">
        <v>574</v>
      </c>
      <c r="D12" s="149"/>
      <c r="E12" s="122" t="e">
        <f>VLOOKUP(Table25755252691013434446474849565758596315181719[[#This Row],[PEG]],Table1016[#All],3,FALSE)</f>
        <v>#N/A</v>
      </c>
    </row>
    <row r="13" spans="1:5" ht="30">
      <c r="A13" s="114">
        <v>6</v>
      </c>
      <c r="B13" s="110" t="s">
        <v>115</v>
      </c>
      <c r="C13" s="105" t="str">
        <f>VLOOKUP(Table25755252691013434446474849565758596315181719[[#This Row],[PEG]],Table1016[#All],2,FALSE)</f>
        <v>400.wav You can say make a payment, check account status, request a document, or more options. Which would you like?</v>
      </c>
      <c r="D13" s="149">
        <v>400</v>
      </c>
      <c r="E13" s="122" t="str">
        <f>VLOOKUP(Table25755252691013434446474849565758596315181719[[#This Row],[PEG]],Table1016[#All],3,FALSE)</f>
        <v>MENU PROMPT</v>
      </c>
    </row>
    <row r="14" spans="1:5">
      <c r="A14" s="114">
        <v>7</v>
      </c>
      <c r="B14" s="110" t="s">
        <v>124</v>
      </c>
      <c r="C14" s="151" t="s">
        <v>575</v>
      </c>
      <c r="D14" s="125"/>
      <c r="E14" s="122" t="e">
        <f>VLOOKUP(Table25755252691013434446474849565758596315181719[[#This Row],[PEG]],Table1016[#All],3,FALSE)</f>
        <v>#N/A</v>
      </c>
    </row>
    <row r="15" spans="1:5">
      <c r="A15" s="114">
        <v>8</v>
      </c>
      <c r="B15" s="110" t="s">
        <v>115</v>
      </c>
      <c r="C15" s="105" t="str">
        <f>VLOOKUP(Table25755252691013434446474849565758596315181719[[#This Row],[PEG]],Table1016[#All],2,FALSE)</f>
        <v>0200-1.wav To get started, what is your account number?</v>
      </c>
      <c r="D15" s="112">
        <v>200</v>
      </c>
      <c r="E15" s="122" t="str">
        <f>VLOOKUP(Table25755252691013434446474849565758596315181719[[#This Row],[PEG]],Table1016[#All],3,FALSE)</f>
        <v>MENU PROMPT</v>
      </c>
    </row>
    <row r="16" spans="1:5">
      <c r="A16" s="114">
        <v>9</v>
      </c>
      <c r="B16" s="110" t="s">
        <v>124</v>
      </c>
      <c r="C16" s="151" t="s">
        <v>515</v>
      </c>
      <c r="D16" s="112"/>
      <c r="E16" s="122" t="e">
        <f>VLOOKUP(Table25755252691013434446474849565758596315181719[[#This Row],[PEG]],Table1016[#All],3,FALSE)</f>
        <v>#N/A</v>
      </c>
    </row>
    <row r="17" spans="1:5">
      <c r="A17" s="114">
        <v>10</v>
      </c>
      <c r="B17" s="110" t="s">
        <v>115</v>
      </c>
      <c r="C17" s="105" t="str">
        <f>VLOOKUP(Table25755252691013434446474849565758596315181719[[#This Row],[PEG]],Table1016[#All],2,FALSE)</f>
        <v>0210-1.wav And the date of birth for the primary owner?</v>
      </c>
      <c r="D17" s="113">
        <v>210</v>
      </c>
      <c r="E17" s="122" t="str">
        <f>VLOOKUP(Table25755252691013434446474849565758596315181719[[#This Row],[PEG]],Table1016[#All],3,FALSE)</f>
        <v>MENU PROMPT</v>
      </c>
    </row>
    <row r="18" spans="1:5">
      <c r="A18" s="114">
        <v>11</v>
      </c>
      <c r="B18" s="110" t="s">
        <v>124</v>
      </c>
      <c r="C18" s="151" t="s">
        <v>524</v>
      </c>
      <c r="D18" s="113"/>
      <c r="E18" s="122" t="e">
        <f>VLOOKUP(Table25755252691013434446474849565758596315181719[[#This Row],[PEG]],Table1016[#All],3,FALSE)</f>
        <v>#N/A</v>
      </c>
    </row>
    <row r="19" spans="1:5" ht="30">
      <c r="A19" s="114">
        <v>12</v>
      </c>
      <c r="B19" s="110" t="s">
        <v>115</v>
      </c>
      <c r="C19" s="105" t="str">
        <f>VLOOKUP(Table25755252691013434446474849565758596315181719[[#This Row],[PEG]],Table1016[#All],2,FALSE)</f>
        <v xml:space="preserve">0470.wav Which document would you like? You can say pay-off quote, statements, cancellation letter or tax documents. </v>
      </c>
      <c r="D19" s="113">
        <v>470</v>
      </c>
      <c r="E19" s="122" t="str">
        <f>VLOOKUP(Table25755252691013434446474849565758596315181719[[#This Row],[PEG]],Table1016[#All],3,FALSE)</f>
        <v>MENU PROMPT</v>
      </c>
    </row>
    <row r="20" spans="1:5">
      <c r="A20" s="114">
        <v>13</v>
      </c>
      <c r="B20" s="110" t="s">
        <v>124</v>
      </c>
      <c r="C20" s="151" t="s">
        <v>574</v>
      </c>
      <c r="D20" s="113"/>
      <c r="E20" s="122" t="e">
        <f>VLOOKUP(Table25755252691013434446474849565758596315181719[[#This Row],[PEG]],Table1016[#All],3,FALSE)</f>
        <v>#N/A</v>
      </c>
    </row>
    <row r="21" spans="1:5" ht="30">
      <c r="A21" s="114">
        <v>14</v>
      </c>
      <c r="B21" s="110" t="s">
        <v>115</v>
      </c>
      <c r="C21" s="105" t="str">
        <f>VLOOKUP(Table25755252691013434446474849565758596315181719[[#This Row],[PEG]],Table1016[#All],2,FALSE)</f>
        <v>0480.wav I can send you a copy of your most recent annual statement, or a copy of your most recent monthly statement. Which one would you like, annual or monthly?</v>
      </c>
      <c r="D21" s="113">
        <v>480</v>
      </c>
      <c r="E21" s="122" t="str">
        <f>VLOOKUP(Table25755252691013434446474849565758596315181719[[#This Row],[PEG]],Table1016[#All],3,FALSE)</f>
        <v>MENU PROMPT</v>
      </c>
    </row>
    <row r="22" spans="1:5">
      <c r="A22" s="114">
        <v>15</v>
      </c>
      <c r="B22" s="110" t="s">
        <v>124</v>
      </c>
      <c r="C22" s="151" t="s">
        <v>588</v>
      </c>
      <c r="D22" s="113"/>
      <c r="E22" s="122" t="e">
        <f>VLOOKUP(Table25755252691013434446474849565758596315181719[[#This Row],[PEG]],Table1016[#All],3,FALSE)</f>
        <v>#N/A</v>
      </c>
    </row>
    <row r="23" spans="1:5">
      <c r="A23" s="114">
        <v>16</v>
      </c>
      <c r="B23" s="110" t="s">
        <v>115</v>
      </c>
      <c r="C23" s="105" t="str">
        <f>VLOOKUP(Table25755252691013434446474849565758596315181719[[#This Row],[PEG]],Table1016[#All],2,FALSE)</f>
        <v>techDiff.wav I'm having trouble.</v>
      </c>
      <c r="D23" s="113" t="s">
        <v>209</v>
      </c>
      <c r="E23" s="122" t="str">
        <f>VLOOKUP(Table25755252691013434446474849565758596315181719[[#This Row],[PEG]],Table1016[#All],3,FALSE)</f>
        <v>PLAY PROMPT</v>
      </c>
    </row>
    <row r="24" spans="1:5">
      <c r="A24" s="114">
        <v>17</v>
      </c>
      <c r="B24" s="110" t="s">
        <v>115</v>
      </c>
      <c r="C24" s="105" t="str">
        <f>VLOOKUP(Table25755252691013434446474849565758596315181719[[#This Row],[PEG]],Table1016[#All],2,FALSE)</f>
        <v>0900.wav Please hold, while I connect you to a customer service representative.</v>
      </c>
      <c r="D24" s="113">
        <v>900</v>
      </c>
      <c r="E24" s="122" t="str">
        <f>VLOOKUP(Table25755252691013434446474849565758596315181719[[#This Row],[PEG]],Table1016[#All],3,FALSE)</f>
        <v>PLAY PROMPT</v>
      </c>
    </row>
    <row r="25" spans="1:5">
      <c r="A25" s="114">
        <v>18</v>
      </c>
      <c r="B25" s="110" t="s">
        <v>115</v>
      </c>
      <c r="C25" s="105" t="str">
        <f>VLOOKUP(Table25755252691013434446474849565758596315181719[[#This Row],[PEG]],Table1016[#All],2,FALSE)</f>
        <v>XferNbr.wav Transfer Number &lt;TransferNbr&gt;</v>
      </c>
      <c r="D25" s="113" t="s">
        <v>480</v>
      </c>
      <c r="E25" s="122" t="str">
        <f>VLOOKUP(Table25755252691013434446474849565758596315181719[[#This Row],[PEG]],Table1016[#All],3,FALSE)</f>
        <v>TEST</v>
      </c>
    </row>
    <row r="26" spans="1:5">
      <c r="A26" s="114">
        <v>19</v>
      </c>
      <c r="B26" s="110" t="s">
        <v>13</v>
      </c>
      <c r="C26" s="17" t="s">
        <v>13</v>
      </c>
      <c r="D26" s="111"/>
      <c r="E26" s="31"/>
    </row>
    <row r="27" spans="1:5">
      <c r="C27" s="25"/>
      <c r="D27" s="107" t="s">
        <v>0</v>
      </c>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5"/>
    </row>
    <row r="39" spans="3:3">
      <c r="C39" s="25"/>
    </row>
    <row r="40" spans="3:3">
      <c r="C40" s="25"/>
    </row>
    <row r="41" spans="3:3">
      <c r="C41" s="25"/>
    </row>
    <row r="42" spans="3:3">
      <c r="C42" s="26"/>
    </row>
    <row r="43" spans="3:3">
      <c r="C43" s="26"/>
    </row>
    <row r="44" spans="3:3">
      <c r="C44" s="26"/>
    </row>
  </sheetData>
  <mergeCells count="1">
    <mergeCell ref="A1:B1"/>
  </mergeCells>
  <conditionalFormatting sqref="B8:B26">
    <cfRule type="containsText" dxfId="5617" priority="26" operator="containsText" text="Hear">
      <formula>NOT(ISERROR(SEARCH("Hear",B8)))</formula>
    </cfRule>
  </conditionalFormatting>
  <conditionalFormatting sqref="E26">
    <cfRule type="containsText" dxfId="5616" priority="24" operator="containsText" text="WEB SERVICE">
      <formula>NOT(ISERROR(SEARCH("WEB SERVICE",E26)))</formula>
    </cfRule>
    <cfRule type="containsText" dxfId="5615" priority="25" operator="containsText" text="DB">
      <formula>NOT(ISERROR(SEARCH("DB",E26)))</formula>
    </cfRule>
  </conditionalFormatting>
  <conditionalFormatting sqref="C26:C9983">
    <cfRule type="expression" dxfId="5614" priority="27">
      <formula>$B26="Dial"</formula>
    </cfRule>
    <cfRule type="expression" dxfId="5613" priority="29">
      <formula>$B26="HANGUP"</formula>
    </cfRule>
  </conditionalFormatting>
  <conditionalFormatting sqref="C26">
    <cfRule type="expression" dxfId="5612" priority="28">
      <formula>$B26="Speak"</formula>
    </cfRule>
  </conditionalFormatting>
  <hyperlinks>
    <hyperlink ref="A1" location="'Test Case Overview'!A1" display="Return to Test Case Overview" xr:uid="{00000000-0004-0000-23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3" id="{3BC1DE1F-85AC-4967-B51D-A2FBCC1F20FB}">
            <xm:f>'TC1'!$B8="HANGUP"</xm:f>
            <x14:dxf>
              <font>
                <b/>
                <i val="0"/>
              </font>
            </x14:dxf>
          </x14:cfRule>
          <x14:cfRule type="expression" priority="31" id="{9884A083-360E-479B-8072-9DE4FC886737}">
            <xm:f>'TC1'!$B8="Dial"</xm:f>
            <x14:dxf>
              <font>
                <b/>
                <i val="0"/>
                <color rgb="FFFF0000"/>
              </font>
            </x14:dxf>
          </x14:cfRule>
          <xm:sqref>C8:C10</xm:sqref>
        </x14:conditionalFormatting>
        <x14:conditionalFormatting xmlns:xm="http://schemas.microsoft.com/office/excel/2006/main">
          <x14:cfRule type="expression" priority="32" id="{B74E2A40-D7FC-40F8-A316-3A67BBC6F006}">
            <xm:f>'TC1'!$B8="Speak"</xm:f>
            <x14:dxf>
              <font>
                <b/>
                <i val="0"/>
                <color rgb="FFFF0000"/>
              </font>
            </x14:dxf>
          </x14:cfRule>
          <xm:sqref>C8:C10</xm:sqref>
        </x14:conditionalFormatting>
        <x14:conditionalFormatting xmlns:xm="http://schemas.microsoft.com/office/excel/2006/main">
          <x14:cfRule type="containsText" priority="33" operator="containsText" text="DB" id="{D34FAF6E-43B8-48F8-B373-723581D5C3E3}">
            <xm:f>NOT(ISERROR(SEARCH("DB",'TC1'!E10)))</xm:f>
            <x14:dxf>
              <font>
                <color rgb="FF006100"/>
              </font>
              <fill>
                <patternFill>
                  <bgColor rgb="FFC6EFCE"/>
                </patternFill>
              </fill>
            </x14:dxf>
          </x14:cfRule>
          <x14:cfRule type="containsText" priority="33" operator="containsText" text="WEB SERVICE" id="{C7F3BF6A-E326-4BC0-B76B-7DDA753175B6}">
            <xm:f>NOT(ISERROR(SEARCH("WEB SERVICE",'TC1'!E10)))</xm:f>
            <x14:dxf>
              <font>
                <color rgb="FF9C0006"/>
              </font>
              <fill>
                <patternFill>
                  <bgColor rgb="FFFFC7CE"/>
                </patternFill>
              </fill>
            </x14:dxf>
          </x14:cfRule>
          <xm:sqref>E10</xm:sqref>
        </x14:conditionalFormatting>
        <x14:conditionalFormatting xmlns:xm="http://schemas.microsoft.com/office/excel/2006/main">
          <x14:cfRule type="expression" priority="995" id="{3BC1DE1F-85AC-4967-B51D-A2FBCC1F20FB}">
            <xm:f>'TC1'!#REF!="HANGUP"</xm:f>
            <x14:dxf>
              <font>
                <b/>
                <i val="0"/>
              </font>
            </x14:dxf>
          </x14:cfRule>
          <x14:cfRule type="expression" priority="996" id="{9884A083-360E-479B-8072-9DE4FC886737}">
            <xm:f>'TC1'!#REF!="Dial"</xm:f>
            <x14:dxf>
              <font>
                <b/>
                <i val="0"/>
                <color rgb="FFFF0000"/>
              </font>
            </x14:dxf>
          </x14:cfRule>
          <xm:sqref>C13:C15 C17 C19:C25</xm:sqref>
        </x14:conditionalFormatting>
        <x14:conditionalFormatting xmlns:xm="http://schemas.microsoft.com/office/excel/2006/main">
          <x14:cfRule type="expression" priority="1001" id="{B74E2A40-D7FC-40F8-A316-3A67BBC6F006}">
            <xm:f>'TC1'!#REF!="Speak"</xm:f>
            <x14:dxf>
              <font>
                <b/>
                <i val="0"/>
                <color rgb="FFFF0000"/>
              </font>
            </x14:dxf>
          </x14:cfRule>
          <xm:sqref>C13:C15 C17 C19:C25</xm:sqref>
        </x14:conditionalFormatting>
        <x14:conditionalFormatting xmlns:xm="http://schemas.microsoft.com/office/excel/2006/main">
          <x14:cfRule type="containsText" priority="1007" operator="containsText" text="DB" id="{D34FAF6E-43B8-48F8-B373-723581D5C3E3}">
            <xm:f>NOT(ISERROR(SEARCH("DB",'TC1'!#REF!)))</xm:f>
            <x14:dxf>
              <font>
                <color rgb="FF006100"/>
              </font>
              <fill>
                <patternFill>
                  <bgColor rgb="FFC6EFCE"/>
                </patternFill>
              </fill>
            </x14:dxf>
          </x14:cfRule>
          <x14:cfRule type="containsText" priority="1008" operator="containsText" text="WEB SERVICE" id="{C7F3BF6A-E326-4BC0-B76B-7DDA753175B6}">
            <xm:f>NOT(ISERROR(SEARCH("WEB SERVICE",'TC1'!#REF!)))</xm:f>
            <x14:dxf>
              <font>
                <color rgb="FF9C0006"/>
              </font>
              <fill>
                <patternFill>
                  <bgColor rgb="FFFFC7CE"/>
                </patternFill>
              </fill>
            </x14:dxf>
          </x14:cfRule>
          <xm:sqref>E13:E25</xm:sqref>
        </x14:conditionalFormatting>
        <x14:conditionalFormatting xmlns:xm="http://schemas.microsoft.com/office/excel/2006/main">
          <x14:cfRule type="containsText" priority="4867" operator="containsText" text="DB" id="{D34FAF6E-43B8-48F8-B373-723581D5C3E3}">
            <xm:f>NOT(ISERROR(SEARCH("DB",'TC1'!E12)))</xm:f>
            <x14:dxf>
              <font>
                <color rgb="FF006100"/>
              </font>
              <fill>
                <patternFill>
                  <bgColor rgb="FFC6EFCE"/>
                </patternFill>
              </fill>
            </x14:dxf>
          </x14:cfRule>
          <x14:cfRule type="containsText" priority="4868" operator="containsText" text="WEB SERVICE" id="{C7F3BF6A-E326-4BC0-B76B-7DDA753175B6}">
            <xm:f>NOT(ISERROR(SEARCH("WEB SERVICE",'TC1'!E12)))</xm:f>
            <x14:dxf>
              <font>
                <color rgb="FF9C0006"/>
              </font>
              <fill>
                <patternFill>
                  <bgColor rgb="FFFFC7CE"/>
                </patternFill>
              </fill>
            </x14:dxf>
          </x14:cfRule>
          <xm:sqref>E11:E12</xm:sqref>
        </x14:conditionalFormatting>
        <x14:conditionalFormatting xmlns:xm="http://schemas.microsoft.com/office/excel/2006/main">
          <x14:cfRule type="expression" priority="4871" id="{3BC1DE1F-85AC-4967-B51D-A2FBCC1F20FB}">
            <xm:f>'TC1'!$B12="HANGUP"</xm:f>
            <x14:dxf>
              <font>
                <b/>
                <i val="0"/>
              </font>
            </x14:dxf>
          </x14:cfRule>
          <x14:cfRule type="expression" priority="4872" id="{9884A083-360E-479B-8072-9DE4FC886737}">
            <xm:f>'TC1'!$B12="Dial"</xm:f>
            <x14:dxf>
              <font>
                <b/>
                <i val="0"/>
                <color rgb="FFFF0000"/>
              </font>
            </x14:dxf>
          </x14:cfRule>
          <xm:sqref>C11:C12</xm:sqref>
        </x14:conditionalFormatting>
        <x14:conditionalFormatting xmlns:xm="http://schemas.microsoft.com/office/excel/2006/main">
          <x14:cfRule type="expression" priority="4874" id="{B74E2A40-D7FC-40F8-A316-3A67BBC6F006}">
            <xm:f>'TC1'!$B12="Speak"</xm:f>
            <x14:dxf>
              <font>
                <b/>
                <i val="0"/>
                <color rgb="FFFF0000"/>
              </font>
            </x14:dxf>
          </x14:cfRule>
          <xm:sqref>C11:C12</xm:sqref>
        </x14:conditionalFormatting>
        <x14:conditionalFormatting xmlns:xm="http://schemas.microsoft.com/office/excel/2006/main">
          <x14:cfRule type="expression" priority="4" id="{746EC64C-494A-4F62-8D02-1AB48E0D97E9}">
            <xm:f>'\Users\deannah\Wyndham Testing\[Wyndham Destinations_TestCaseOverview_V3_Template.xlsx]TC1'!#REF!="HANGUP"</xm:f>
            <x14:dxf>
              <font>
                <b/>
                <i val="0"/>
              </font>
            </x14:dxf>
          </x14:cfRule>
          <x14:cfRule type="expression" priority="5" id="{11337193-B460-41E4-AC24-108F9F9987A5}">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6" id="{47AA432F-736A-4173-9238-82D8F40AE638}">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1" id="{91590CA8-F348-4CEF-B3E5-048AD22993CF}">
            <xm:f>'\Users\deannah\Wyndham Testing\[Wyndham Destinations_TestCaseOverview_V3_Template.xlsx]TC1'!#REF!="HANGUP"</xm:f>
            <x14:dxf>
              <font>
                <b/>
                <i val="0"/>
              </font>
            </x14:dxf>
          </x14:cfRule>
          <x14:cfRule type="expression" priority="2" id="{593ED7CC-38E3-4334-A070-D3C950663469}">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3" id="{50059FD6-C917-4C69-8326-C3BEDE66822F}">
            <xm:f>'\Users\deannah\Wyndham Testing\[Wyndham Destinations_TestCaseOverview_V3_Template.xlsx]TC1'!#REF!="Speak"</xm:f>
            <x14:dxf>
              <font>
                <b/>
                <i val="0"/>
                <color rgb="FFFF0000"/>
              </font>
            </x14:dxf>
          </x14:cfRule>
          <xm:sqref>C18</xm:sqref>
        </x14:conditionalFormatting>
      </x14:conditionalFormatting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dimension ref="A1:E43"/>
  <sheetViews>
    <sheetView zoomScaleNormal="100" workbookViewId="0">
      <selection activeCell="D9" sqref="D9:D13"/>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TC36</v>
      </c>
    </row>
    <row r="3" spans="1:5">
      <c r="A3" s="100" t="s">
        <v>19</v>
      </c>
      <c r="B3" s="108">
        <f ca="1">VLOOKUP(B2,Table1[#All],2,FALSE)</f>
        <v>0</v>
      </c>
    </row>
    <row r="4" spans="1:5" ht="30">
      <c r="A4" s="109" t="s">
        <v>20</v>
      </c>
      <c r="B4" s="95" t="str">
        <f ca="1">VLOOKUP(B2,Table1[#All],4,FALSE)</f>
        <v xml:space="preserve">serviceType=RequestDocs, 1098 msg not active, PO/else (not yes) </v>
      </c>
    </row>
    <row r="5" spans="1:5" ht="75">
      <c r="A5" s="100" t="s">
        <v>6</v>
      </c>
      <c r="B5" s="89" t="str">
        <f ca="1">VLOOKUP(B2,Table1[#All],3,FALSE)</f>
        <v>CallStart Main Menu/Pmts and Statements/request doc/ serviceType=requestDocs/ID Auth/ID Auth True,Finance Exception code=else/Payoff/ else/Xfer</v>
      </c>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VLOOKUP(Table2575525269101343444647484956575859631518171922[[#This Row],[PEG]],Table1016[#All],2,FALSE)</f>
        <v>CallID.wav Call ID &lt;CallID&gt;</v>
      </c>
      <c r="D9" s="149" t="s">
        <v>477</v>
      </c>
      <c r="E9" s="122" t="str">
        <f>VLOOKUP(Table2575525269101343444647484956575859631518171922[[#This Row],[PEG]],Table1016[#All],3,FALSE)</f>
        <v>TEST</v>
      </c>
    </row>
    <row r="10" spans="1:5" ht="30">
      <c r="A10" s="114">
        <v>3</v>
      </c>
      <c r="B10" s="110" t="s">
        <v>115</v>
      </c>
      <c r="C10" s="105" t="str">
        <f>VLOOKUP(Table2575525269101343444647484956575859631518171922[[#This Row],[PEG]],Table1016[#All],2,FALSE)</f>
        <v>0100.wav Thank you for calling Shell vacations Club, we are glad you called. Please have your account number available for faster service. [To continue in Spanish, press 9]</v>
      </c>
      <c r="D10" s="149">
        <v>100</v>
      </c>
      <c r="E10" s="122" t="str">
        <f>VLOOKUP(Table2575525269101343444647484956575859631518171922[[#This Row],[PEG]],Table1016[#All],3,FALSE)</f>
        <v>PLAY PROMPT</v>
      </c>
    </row>
    <row r="11" spans="1:5" ht="30">
      <c r="A11" s="114">
        <v>4</v>
      </c>
      <c r="B11" s="110" t="s">
        <v>115</v>
      </c>
      <c r="C11" s="105" t="str">
        <f>VLOOKUP(Table2575525269101343444647484956575859631518171922[[#This Row],[PEG]],Table1016[#All],2,FALSE)</f>
        <v>0110-1.wav Which would you like? You can say... reservations, payments &amp; statements, title &amp; ownership changes, or more options.</v>
      </c>
      <c r="D11" s="149">
        <v>110</v>
      </c>
      <c r="E11" s="122" t="str">
        <f>VLOOKUP(Table2575525269101343444647484956575859631518171922[[#This Row],[PEG]],Table1016[#All],3,FALSE)</f>
        <v>MENU PROMPT</v>
      </c>
    </row>
    <row r="12" spans="1:5">
      <c r="A12" s="114">
        <v>5</v>
      </c>
      <c r="B12" s="110" t="s">
        <v>124</v>
      </c>
      <c r="C12" s="158" t="s">
        <v>634</v>
      </c>
      <c r="D12" s="149"/>
      <c r="E12" s="122" t="e">
        <f>VLOOKUP(Table2575525269101343444647484956575859631518171922[[#This Row],[PEG]],Table1016[#All],3,FALSE)</f>
        <v>#N/A</v>
      </c>
    </row>
    <row r="13" spans="1:5" ht="30">
      <c r="A13" s="114">
        <v>6</v>
      </c>
      <c r="B13" s="110" t="s">
        <v>115</v>
      </c>
      <c r="C13" s="105" t="str">
        <f>VLOOKUP(Table2575525269101343444647484956575859631518171922[[#This Row],[PEG]],Table1016[#All],2,FALSE)</f>
        <v>400.wav You can say make a payment, check account status, request a document, or more options. Which would you like?</v>
      </c>
      <c r="D13" s="149">
        <v>400</v>
      </c>
      <c r="E13" s="122" t="str">
        <f>VLOOKUP(Table2575525269101343444647484956575859631518171922[[#This Row],[PEG]],Table1016[#All],3,FALSE)</f>
        <v>MENU PROMPT</v>
      </c>
    </row>
    <row r="14" spans="1:5">
      <c r="A14" s="114">
        <v>7</v>
      </c>
      <c r="B14" s="110" t="s">
        <v>124</v>
      </c>
      <c r="C14" s="151" t="s">
        <v>575</v>
      </c>
      <c r="D14" s="125"/>
      <c r="E14" s="122" t="e">
        <f>VLOOKUP(Table2575525269101343444647484956575859631518171922[[#This Row],[PEG]],Table1016[#All],3,FALSE)</f>
        <v>#N/A</v>
      </c>
    </row>
    <row r="15" spans="1:5">
      <c r="A15" s="114">
        <v>8</v>
      </c>
      <c r="B15" s="110" t="s">
        <v>115</v>
      </c>
      <c r="C15" s="105" t="str">
        <f>VLOOKUP(Table2575525269101343444647484956575859631518171922[[#This Row],[PEG]],Table1016[#All],2,FALSE)</f>
        <v>0200-1.wav To get started, what is your account number?</v>
      </c>
      <c r="D15" s="112">
        <v>200</v>
      </c>
      <c r="E15" s="122" t="str">
        <f>VLOOKUP(Table2575525269101343444647484956575859631518171922[[#This Row],[PEG]],Table1016[#All],3,FALSE)</f>
        <v>MENU PROMPT</v>
      </c>
    </row>
    <row r="16" spans="1:5">
      <c r="A16" s="114">
        <v>9</v>
      </c>
      <c r="B16" s="110" t="s">
        <v>114</v>
      </c>
      <c r="C16" s="151" t="s">
        <v>515</v>
      </c>
      <c r="D16" s="112"/>
      <c r="E16" s="122" t="e">
        <f>VLOOKUP(Table2575525269101343444647484956575859631518171922[[#This Row],[PEG]],Table1016[#All],3,FALSE)</f>
        <v>#N/A</v>
      </c>
    </row>
    <row r="17" spans="1:5">
      <c r="A17" s="114">
        <v>10</v>
      </c>
      <c r="B17" s="110" t="s">
        <v>115</v>
      </c>
      <c r="C17" s="105" t="str">
        <f>VLOOKUP(Table2575525269101343444647484956575859631518171922[[#This Row],[PEG]],Table1016[#All],2,FALSE)</f>
        <v>0210-1.wav And the date of birth for the primary owner?</v>
      </c>
      <c r="D17" s="113">
        <v>210</v>
      </c>
      <c r="E17" s="122" t="str">
        <f>VLOOKUP(Table2575525269101343444647484956575859631518171922[[#This Row],[PEG]],Table1016[#All],3,FALSE)</f>
        <v>MENU PROMPT</v>
      </c>
    </row>
    <row r="18" spans="1:5">
      <c r="A18" s="114">
        <v>11</v>
      </c>
      <c r="B18" s="110" t="s">
        <v>124</v>
      </c>
      <c r="C18" s="151" t="s">
        <v>524</v>
      </c>
      <c r="D18" s="113"/>
      <c r="E18" s="122" t="e">
        <f>VLOOKUP(Table2575525269101343444647484956575859631518171922[[#This Row],[PEG]],Table1016[#All],3,FALSE)</f>
        <v>#N/A</v>
      </c>
    </row>
    <row r="19" spans="1:5" ht="30">
      <c r="A19" s="114">
        <v>12</v>
      </c>
      <c r="B19" s="110" t="s">
        <v>115</v>
      </c>
      <c r="C19" s="105" t="str">
        <f>VLOOKUP(Table2575525269101343444647484956575859631518171922[[#This Row],[PEG]],Table1016[#All],2,FALSE)</f>
        <v xml:space="preserve">0470.wav Which document would you like? You can say pay-off quote, statements, cancellation letter or tax documents. </v>
      </c>
      <c r="D19" s="113">
        <v>470</v>
      </c>
      <c r="E19" s="122" t="str">
        <f>VLOOKUP(Table2575525269101343444647484956575859631518171922[[#This Row],[PEG]],Table1016[#All],3,FALSE)</f>
        <v>MENU PROMPT</v>
      </c>
    </row>
    <row r="20" spans="1:5">
      <c r="A20" s="114">
        <v>13</v>
      </c>
      <c r="B20" s="110" t="s">
        <v>124</v>
      </c>
      <c r="C20" s="151" t="s">
        <v>592</v>
      </c>
      <c r="D20" s="113"/>
      <c r="E20" s="122" t="e">
        <f>VLOOKUP(Table2575525269101343444647484956575859631518171922[[#This Row],[PEG]],Table1016[#All],3,FALSE)</f>
        <v>#N/A</v>
      </c>
    </row>
    <row r="21" spans="1:5" ht="30">
      <c r="A21" s="114">
        <v>14</v>
      </c>
      <c r="B21" s="110" t="s">
        <v>115</v>
      </c>
      <c r="C21" s="105" t="str">
        <f>VLOOKUP(Table2575525269101343444647484956575859631518171922[[#This Row],[PEG]],Table1016[#All],2,FALSE)</f>
        <v>0485.wav Your current payoff amount is [amount]. Would you like me to send you a payoff letter with this information?</v>
      </c>
      <c r="D21" s="113">
        <v>485</v>
      </c>
      <c r="E21" s="122" t="str">
        <f>VLOOKUP(Table2575525269101343444647484956575859631518171922[[#This Row],[PEG]],Table1016[#All],3,FALSE)</f>
        <v>MENU PROMPT</v>
      </c>
    </row>
    <row r="22" spans="1:5">
      <c r="A22" s="114">
        <v>15</v>
      </c>
      <c r="B22" s="110" t="s">
        <v>124</v>
      </c>
      <c r="C22" s="151" t="s">
        <v>584</v>
      </c>
      <c r="D22" s="113"/>
      <c r="E22" s="122" t="e">
        <f>VLOOKUP(Table2575525269101343444647484956575859631518171922[[#This Row],[PEG]],Table1016[#All],3,FALSE)</f>
        <v>#N/A</v>
      </c>
    </row>
    <row r="23" spans="1:5">
      <c r="A23" s="114">
        <v>16</v>
      </c>
      <c r="B23" s="110" t="s">
        <v>115</v>
      </c>
      <c r="C23" s="105" t="str">
        <f>VLOOKUP(Table2575525269101343444647484956575859631518171922[[#This Row],[PEG]],Table1016[#All],2,FALSE)</f>
        <v>0900.wav Please hold, while I connect you to a customer service representative.</v>
      </c>
      <c r="D23" s="113">
        <v>900</v>
      </c>
      <c r="E23" s="122" t="str">
        <f>VLOOKUP(Table2575525269101343444647484956575859631518171922[[#This Row],[PEG]],Table1016[#All],3,FALSE)</f>
        <v>PLAY PROMPT</v>
      </c>
    </row>
    <row r="24" spans="1:5">
      <c r="A24" s="114">
        <v>17</v>
      </c>
      <c r="B24" s="110" t="s">
        <v>115</v>
      </c>
      <c r="C24" s="105" t="str">
        <f>VLOOKUP(Table2575525269101343444647484956575859631518171922[[#This Row],[PEG]],Table1016[#All],2,FALSE)</f>
        <v>XferNbr.wav Transfer Number &lt;TransferNbr&gt;</v>
      </c>
      <c r="D24" s="113" t="s">
        <v>480</v>
      </c>
      <c r="E24" s="122" t="str">
        <f>VLOOKUP(Table2575525269101343444647484956575859631518171922[[#This Row],[PEG]],Table1016[#All],3,FALSE)</f>
        <v>TEST</v>
      </c>
    </row>
    <row r="25" spans="1:5">
      <c r="A25" s="114">
        <v>18</v>
      </c>
      <c r="B25" s="110" t="s">
        <v>13</v>
      </c>
      <c r="C25" s="17" t="s">
        <v>13</v>
      </c>
      <c r="D25" s="111"/>
      <c r="E25" s="31"/>
    </row>
    <row r="26" spans="1:5">
      <c r="C26" s="25"/>
      <c r="D26" s="107" t="s">
        <v>0</v>
      </c>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5"/>
    </row>
    <row r="39" spans="3:3">
      <c r="C39" s="25"/>
    </row>
    <row r="40" spans="3:3">
      <c r="C40" s="25"/>
    </row>
    <row r="41" spans="3:3">
      <c r="C41" s="26"/>
    </row>
    <row r="42" spans="3:3">
      <c r="C42" s="26"/>
    </row>
    <row r="43" spans="3:3">
      <c r="C43" s="26"/>
    </row>
  </sheetData>
  <mergeCells count="1">
    <mergeCell ref="A1:B1"/>
  </mergeCells>
  <conditionalFormatting sqref="B25">
    <cfRule type="containsText" dxfId="5581" priority="26" operator="containsText" text="Hear">
      <formula>NOT(ISERROR(SEARCH("Hear",B25)))</formula>
    </cfRule>
  </conditionalFormatting>
  <conditionalFormatting sqref="E25">
    <cfRule type="containsText" dxfId="5580" priority="24" operator="containsText" text="WEB SERVICE">
      <formula>NOT(ISERROR(SEARCH("WEB SERVICE",E25)))</formula>
    </cfRule>
    <cfRule type="containsText" dxfId="5579" priority="25" operator="containsText" text="DB">
      <formula>NOT(ISERROR(SEARCH("DB",E25)))</formula>
    </cfRule>
  </conditionalFormatting>
  <conditionalFormatting sqref="C25:C9982">
    <cfRule type="expression" dxfId="5578" priority="27">
      <formula>$B25="Dial"</formula>
    </cfRule>
    <cfRule type="expression" dxfId="5577" priority="29">
      <formula>$B25="HANGUP"</formula>
    </cfRule>
  </conditionalFormatting>
  <conditionalFormatting sqref="C25">
    <cfRule type="expression" dxfId="5576" priority="28">
      <formula>$B25="Speak"</formula>
    </cfRule>
  </conditionalFormatting>
  <conditionalFormatting sqref="B8">
    <cfRule type="containsText" dxfId="5575" priority="10" operator="containsText" text="Hear">
      <formula>NOT(ISERROR(SEARCH("Hear",B8)))</formula>
    </cfRule>
  </conditionalFormatting>
  <conditionalFormatting sqref="B23:B24">
    <cfRule type="containsText" dxfId="5574" priority="9" operator="containsText" text="Hear">
      <formula>NOT(ISERROR(SEARCH("Hear",B23)))</formula>
    </cfRule>
  </conditionalFormatting>
  <conditionalFormatting sqref="B19:B22">
    <cfRule type="containsText" dxfId="5573" priority="8" operator="containsText" text="Hear">
      <formula>NOT(ISERROR(SEARCH("Hear",B19)))</formula>
    </cfRule>
  </conditionalFormatting>
  <conditionalFormatting sqref="B9:B18">
    <cfRule type="containsText" dxfId="5572" priority="7" operator="containsText" text="Hear">
      <formula>NOT(ISERROR(SEARCH("Hear",B9)))</formula>
    </cfRule>
  </conditionalFormatting>
  <hyperlinks>
    <hyperlink ref="A1" location="'Test Case Overview'!A1" display="Return to Test Case Overview" xr:uid="{00000000-0004-0000-24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3" id="{2E5AC31C-275D-403B-BEDD-618C38890885}">
            <xm:f>'TC1'!$B8="HANGUP"</xm:f>
            <x14:dxf>
              <font>
                <b/>
                <i val="0"/>
              </font>
            </x14:dxf>
          </x14:cfRule>
          <x14:cfRule type="expression" priority="31" id="{4ECFDAF0-5507-48EA-823C-79A40EA0B634}">
            <xm:f>'TC1'!$B8="Dial"</xm:f>
            <x14:dxf>
              <font>
                <b/>
                <i val="0"/>
                <color rgb="FFFF0000"/>
              </font>
            </x14:dxf>
          </x14:cfRule>
          <xm:sqref>C8</xm:sqref>
        </x14:conditionalFormatting>
        <x14:conditionalFormatting xmlns:xm="http://schemas.microsoft.com/office/excel/2006/main">
          <x14:cfRule type="expression" priority="32" id="{065FD99C-CBC4-47F2-BAE9-9473731A2B3D}">
            <xm:f>'TC1'!$B8="Speak"</xm:f>
            <x14:dxf>
              <font>
                <b/>
                <i val="0"/>
                <color rgb="FFFF0000"/>
              </font>
            </x14:dxf>
          </x14:cfRule>
          <xm:sqref>C8</xm:sqref>
        </x14:conditionalFormatting>
        <x14:conditionalFormatting xmlns:xm="http://schemas.microsoft.com/office/excel/2006/main">
          <x14:cfRule type="containsText" priority="33" operator="containsText" text="WEB SERVICE" id="{3731F1DA-FA44-42D1-83C5-F8ABB29BE850}">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013" id="{2E5AC31C-275D-403B-BEDD-618C38890885}">
            <xm:f>'TC1'!#REF!="HANGUP"</xm:f>
            <x14:dxf>
              <font>
                <b/>
                <i val="0"/>
              </font>
            </x14:dxf>
          </x14:cfRule>
          <x14:cfRule type="expression" priority="1014" id="{4ECFDAF0-5507-48EA-823C-79A40EA0B634}">
            <xm:f>'TC1'!#REF!="Dial"</xm:f>
            <x14:dxf>
              <font>
                <b/>
                <i val="0"/>
                <color rgb="FFFF0000"/>
              </font>
            </x14:dxf>
          </x14:cfRule>
          <xm:sqref>C13:C15 C17 C19:C24</xm:sqref>
        </x14:conditionalFormatting>
        <x14:conditionalFormatting xmlns:xm="http://schemas.microsoft.com/office/excel/2006/main">
          <x14:cfRule type="expression" priority="1019" id="{065FD99C-CBC4-47F2-BAE9-9473731A2B3D}">
            <xm:f>'TC1'!#REF!="Speak"</xm:f>
            <x14:dxf>
              <font>
                <b/>
                <i val="0"/>
                <color rgb="FFFF0000"/>
              </font>
            </x14:dxf>
          </x14:cfRule>
          <xm:sqref>C13:C15 C17 C19:C24</xm:sqref>
        </x14:conditionalFormatting>
        <x14:conditionalFormatting xmlns:xm="http://schemas.microsoft.com/office/excel/2006/main">
          <x14:cfRule type="containsText" priority="1023" operator="containsText" text="WEB SERVICE" id="{3731F1DA-FA44-42D1-83C5-F8ABB29BE850}">
            <xm:f>NOT(ISERROR(SEARCH("WEB SERVICE",'TC1'!#REF!)))</xm:f>
            <x14:dxf>
              <font>
                <color rgb="FF9C0006"/>
              </font>
              <fill>
                <patternFill>
                  <bgColor rgb="FFFFC7CE"/>
                </patternFill>
              </fill>
            </x14:dxf>
          </x14:cfRule>
          <xm:sqref>E13:E24</xm:sqref>
        </x14:conditionalFormatting>
        <x14:conditionalFormatting xmlns:xm="http://schemas.microsoft.com/office/excel/2006/main">
          <x14:cfRule type="expression" priority="3689" id="{2E5AC31C-275D-403B-BEDD-618C38890885}">
            <xm:f>'TC1'!$B10="HANGUP"</xm:f>
            <x14:dxf>
              <font>
                <b/>
                <i val="0"/>
              </font>
            </x14:dxf>
          </x14:cfRule>
          <x14:cfRule type="expression" priority="3690" id="{4ECFDAF0-5507-48EA-823C-79A40EA0B634}">
            <xm:f>'TC1'!$B10="Dial"</xm:f>
            <x14:dxf>
              <font>
                <b/>
                <i val="0"/>
                <color rgb="FFFF0000"/>
              </font>
            </x14:dxf>
          </x14:cfRule>
          <xm:sqref>C9:C12</xm:sqref>
        </x14:conditionalFormatting>
        <x14:conditionalFormatting xmlns:xm="http://schemas.microsoft.com/office/excel/2006/main">
          <x14:cfRule type="expression" priority="3692" id="{065FD99C-CBC4-47F2-BAE9-9473731A2B3D}">
            <xm:f>'TC1'!$B10="Speak"</xm:f>
            <x14:dxf>
              <font>
                <b/>
                <i val="0"/>
                <color rgb="FFFF0000"/>
              </font>
            </x14:dxf>
          </x14:cfRule>
          <xm:sqref>C9:C12</xm:sqref>
        </x14:conditionalFormatting>
        <x14:conditionalFormatting xmlns:xm="http://schemas.microsoft.com/office/excel/2006/main">
          <x14:cfRule type="expression" priority="4" id="{5F1F39F1-24C3-4042-9E19-28287E86EBC2}">
            <xm:f>'\Users\deannah\Wyndham Testing\[Wyndham Destinations_TestCaseOverview_V3_Template.xlsx]TC1'!#REF!="HANGUP"</xm:f>
            <x14:dxf>
              <font>
                <b/>
                <i val="0"/>
              </font>
            </x14:dxf>
          </x14:cfRule>
          <x14:cfRule type="expression" priority="5" id="{1F4EFACD-F95D-49CB-8254-3CF795D45B98}">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6" id="{A9CC2E08-9DE8-4A7C-9C88-48A81DF5434A}">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1" id="{65221DA5-6807-49D5-9F16-1FE5B1EFB176}">
            <xm:f>'\Users\deannah\Wyndham Testing\[Wyndham Destinations_TestCaseOverview_V3_Template.xlsx]TC1'!#REF!="HANGUP"</xm:f>
            <x14:dxf>
              <font>
                <b/>
                <i val="0"/>
              </font>
            </x14:dxf>
          </x14:cfRule>
          <x14:cfRule type="expression" priority="2" id="{A595BDF1-BC5D-4504-A0CB-EACB2D445CA3}">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3" id="{EDDB67C3-2343-494D-BEDE-D8DBFBA38DF7}">
            <xm:f>'\Users\deannah\Wyndham Testing\[Wyndham Destinations_TestCaseOverview_V3_Template.xlsx]TC1'!#REF!="Speak"</xm:f>
            <x14:dxf>
              <font>
                <b/>
                <i val="0"/>
                <color rgb="FFFF0000"/>
              </font>
            </x14:dxf>
          </x14:cfRule>
          <xm:sqref>C18</xm:sqref>
        </x14:conditionalFormatting>
      </x14:conditionalFormatting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dimension ref="A1:E44"/>
  <sheetViews>
    <sheetView zoomScaleNormal="100" workbookViewId="0">
      <selection activeCell="C18" sqref="C18"/>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TC37</v>
      </c>
    </row>
    <row r="3" spans="1:5">
      <c r="A3" s="100" t="s">
        <v>19</v>
      </c>
      <c r="B3" s="108">
        <f ca="1">VLOOKUP(B2,Table1[#All],2,FALSE)</f>
        <v>0</v>
      </c>
    </row>
    <row r="4" spans="1:5" ht="45">
      <c r="A4" s="109" t="s">
        <v>20</v>
      </c>
      <c r="B4" s="95" t="str">
        <f ca="1">VLOOKUP(B2,Table1[#All],4,FALSE)</f>
        <v>serviceType=RequestDocs, 1098 msg not active, PO/yes OFS07 fails (based on transaction code)</v>
      </c>
    </row>
    <row r="5" spans="1:5" ht="75">
      <c r="A5" s="100" t="s">
        <v>6</v>
      </c>
      <c r="B5" s="89" t="str">
        <f ca="1">VLOOKUP(B2,Table1[#All],3,FALSE)</f>
        <v>CallStart Main Menu/Pmts and Statements/request doc/ serviceType=requestDocs/ID Auth/ID Auth True,Finance Exception code=else/Payoff/ else/Xfer</v>
      </c>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VLOOKUP(Table257552526910134344464748495657585963151817192245[[#This Row],[PEG]],Table1016[#All],2,FALSE)</f>
        <v>CallID.wav Call ID &lt;CallID&gt;</v>
      </c>
      <c r="D9" s="149" t="s">
        <v>477</v>
      </c>
      <c r="E9" s="122" t="str">
        <f>VLOOKUP(Table257552526910134344464748495657585963151817192245[[#This Row],[PEG]],Table1016[#All],3,FALSE)</f>
        <v>TEST</v>
      </c>
    </row>
    <row r="10" spans="1:5" ht="30">
      <c r="A10" s="114">
        <v>3</v>
      </c>
      <c r="B10" s="110" t="s">
        <v>115</v>
      </c>
      <c r="C10" s="105" t="str">
        <f>VLOOKUP(Table257552526910134344464748495657585963151817192245[[#This Row],[PEG]],Table1016[#All],2,FALSE)</f>
        <v>0100.wav Thank you for calling Shell vacations Club, we are glad you called. Please have your account number available for faster service. [To continue in Spanish, press 9]</v>
      </c>
      <c r="D10" s="149">
        <v>100</v>
      </c>
      <c r="E10" s="122" t="str">
        <f>VLOOKUP(Table257552526910134344464748495657585963151817192245[[#This Row],[PEG]],Table1016[#All],3,FALSE)</f>
        <v>PLAY PROMPT</v>
      </c>
    </row>
    <row r="11" spans="1:5" ht="30">
      <c r="A11" s="114">
        <v>4</v>
      </c>
      <c r="B11" s="110" t="s">
        <v>115</v>
      </c>
      <c r="C11" s="105" t="str">
        <f>VLOOKUP(Table257552526910134344464748495657585963151817192245[[#This Row],[PEG]],Table1016[#All],2,FALSE)</f>
        <v>0110-1.wav Which would you like? You can say... reservations, payments &amp; statements, title &amp; ownership changes, or more options.</v>
      </c>
      <c r="D11" s="149">
        <v>110</v>
      </c>
      <c r="E11" s="122" t="str">
        <f>VLOOKUP(Table257552526910134344464748495657585963151817192245[[#This Row],[PEG]],Table1016[#All],3,FALSE)</f>
        <v>MENU PROMPT</v>
      </c>
    </row>
    <row r="12" spans="1:5">
      <c r="A12" s="114">
        <v>5</v>
      </c>
      <c r="B12" s="110" t="s">
        <v>124</v>
      </c>
      <c r="C12" s="158" t="s">
        <v>565</v>
      </c>
      <c r="D12" s="149"/>
      <c r="E12" s="122" t="e">
        <f>VLOOKUP(Table257552526910134344464748495657585963151817192245[[#This Row],[PEG]],Table1016[#All],3,FALSE)</f>
        <v>#N/A</v>
      </c>
    </row>
    <row r="13" spans="1:5" ht="30">
      <c r="A13" s="114">
        <v>6</v>
      </c>
      <c r="B13" s="110" t="s">
        <v>115</v>
      </c>
      <c r="C13" s="105" t="str">
        <f>VLOOKUP(Table257552526910134344464748495657585963151817192245[[#This Row],[PEG]],Table1016[#All],2,FALSE)</f>
        <v>400.wav You can say make a payment, check account status, request a document, or more options. Which would you like?</v>
      </c>
      <c r="D13" s="149">
        <v>400</v>
      </c>
      <c r="E13" s="122" t="str">
        <f>VLOOKUP(Table257552526910134344464748495657585963151817192245[[#This Row],[PEG]],Table1016[#All],3,FALSE)</f>
        <v>MENU PROMPT</v>
      </c>
    </row>
    <row r="14" spans="1:5">
      <c r="A14" s="114">
        <v>7</v>
      </c>
      <c r="B14" s="110" t="s">
        <v>124</v>
      </c>
      <c r="C14" s="151" t="s">
        <v>587</v>
      </c>
      <c r="D14" s="125"/>
      <c r="E14" s="122" t="e">
        <f>VLOOKUP(Table257552526910134344464748495657585963151817192245[[#This Row],[PEG]],Table1016[#All],3,FALSE)</f>
        <v>#N/A</v>
      </c>
    </row>
    <row r="15" spans="1:5">
      <c r="A15" s="114">
        <v>8</v>
      </c>
      <c r="B15" s="110" t="s">
        <v>115</v>
      </c>
      <c r="C15" s="105" t="str">
        <f>VLOOKUP(Table257552526910134344464748495657585963151817192245[[#This Row],[PEG]],Table1016[#All],2,FALSE)</f>
        <v>0200-1.wav To get started, what is your account number?</v>
      </c>
      <c r="D15" s="112">
        <v>200</v>
      </c>
      <c r="E15" s="122" t="str">
        <f>VLOOKUP(Table257552526910134344464748495657585963151817192245[[#This Row],[PEG]],Table1016[#All],3,FALSE)</f>
        <v>MENU PROMPT</v>
      </c>
    </row>
    <row r="16" spans="1:5">
      <c r="A16" s="114">
        <v>9</v>
      </c>
      <c r="B16" s="110" t="s">
        <v>114</v>
      </c>
      <c r="C16" s="151" t="s">
        <v>515</v>
      </c>
      <c r="D16" s="112"/>
      <c r="E16" s="122" t="e">
        <f>VLOOKUP(Table257552526910134344464748495657585963151817192245[[#This Row],[PEG]],Table1016[#All],3,FALSE)</f>
        <v>#N/A</v>
      </c>
    </row>
    <row r="17" spans="1:5">
      <c r="A17" s="114">
        <v>10</v>
      </c>
      <c r="B17" s="110" t="s">
        <v>12</v>
      </c>
      <c r="C17" s="105" t="str">
        <f>VLOOKUP(Table257552526910134344464748495657585963151817192245[[#This Row],[PEG]],Table1016[#All],2,FALSE)</f>
        <v>0210-1.wav And the date of birth for the primary owner?</v>
      </c>
      <c r="D17" s="113">
        <v>210</v>
      </c>
      <c r="E17" s="122" t="str">
        <f>VLOOKUP(Table257552526910134344464748495657585963151817192245[[#This Row],[PEG]],Table1016[#All],3,FALSE)</f>
        <v>MENU PROMPT</v>
      </c>
    </row>
    <row r="18" spans="1:5">
      <c r="A18" s="114">
        <v>11</v>
      </c>
      <c r="B18" s="110" t="s">
        <v>124</v>
      </c>
      <c r="C18" s="151" t="s">
        <v>524</v>
      </c>
      <c r="D18" s="113"/>
      <c r="E18" s="122" t="e">
        <f>VLOOKUP(Table257552526910134344464748495657585963151817192245[[#This Row],[PEG]],Table1016[#All],3,FALSE)</f>
        <v>#N/A</v>
      </c>
    </row>
    <row r="19" spans="1:5" ht="30">
      <c r="A19" s="114">
        <v>12</v>
      </c>
      <c r="B19" s="110" t="s">
        <v>115</v>
      </c>
      <c r="C19" s="105" t="str">
        <f>VLOOKUP(Table257552526910134344464748495657585963151817192245[[#This Row],[PEG]],Table1016[#All],2,FALSE)</f>
        <v xml:space="preserve">0470.wav Which document would you like? You can say pay-off quote, statements, cancellation letter or tax documents. </v>
      </c>
      <c r="D19" s="113">
        <v>470</v>
      </c>
      <c r="E19" s="122" t="str">
        <f>VLOOKUP(Table257552526910134344464748495657585963151817192245[[#This Row],[PEG]],Table1016[#All],3,FALSE)</f>
        <v>MENU PROMPT</v>
      </c>
    </row>
    <row r="20" spans="1:5">
      <c r="A20" s="114">
        <v>13</v>
      </c>
      <c r="B20" s="110" t="s">
        <v>124</v>
      </c>
      <c r="C20" s="151" t="s">
        <v>590</v>
      </c>
      <c r="D20" s="113"/>
      <c r="E20" s="122" t="e">
        <f>VLOOKUP(Table257552526910134344464748495657585963151817192245[[#This Row],[PEG]],Table1016[#All],3,FALSE)</f>
        <v>#N/A</v>
      </c>
    </row>
    <row r="21" spans="1:5" ht="30">
      <c r="A21" s="114">
        <v>14</v>
      </c>
      <c r="B21" s="110" t="s">
        <v>115</v>
      </c>
      <c r="C21" s="105" t="str">
        <f>VLOOKUP(Table257552526910134344464748495657585963151817192245[[#This Row],[PEG]],Table1016[#All],2,FALSE)</f>
        <v>0485.wav Your current payoff amount is [amount]. Would you like me to send you a payoff letter with this information?</v>
      </c>
      <c r="D21" s="113">
        <v>485</v>
      </c>
      <c r="E21" s="122" t="str">
        <f>VLOOKUP(Table257552526910134344464748495657585963151817192245[[#This Row],[PEG]],Table1016[#All],3,FALSE)</f>
        <v>MENU PROMPT</v>
      </c>
    </row>
    <row r="22" spans="1:5">
      <c r="A22" s="114">
        <v>15</v>
      </c>
      <c r="B22" s="110" t="s">
        <v>124</v>
      </c>
      <c r="C22" s="151" t="s">
        <v>582</v>
      </c>
      <c r="D22" s="113"/>
      <c r="E22" s="122" t="e">
        <f>VLOOKUP(Table257552526910134344464748495657585963151817192245[[#This Row],[PEG]],Table1016[#All],3,FALSE)</f>
        <v>#N/A</v>
      </c>
    </row>
    <row r="23" spans="1:5">
      <c r="A23" s="114">
        <v>16</v>
      </c>
      <c r="B23" s="110" t="s">
        <v>115</v>
      </c>
      <c r="C23" s="105" t="str">
        <f>VLOOKUP(Table257552526910134344464748495657585963151817192245[[#This Row],[PEG]],Table1016[#All],2,FALSE)</f>
        <v>techDiff.wav I'm having trouble.</v>
      </c>
      <c r="D23" s="113" t="s">
        <v>209</v>
      </c>
      <c r="E23" s="122" t="str">
        <f>VLOOKUP(Table257552526910134344464748495657585963151817192245[[#This Row],[PEG]],Table1016[#All],3,FALSE)</f>
        <v>PLAY PROMPT</v>
      </c>
    </row>
    <row r="24" spans="1:5">
      <c r="A24" s="114">
        <v>17</v>
      </c>
      <c r="B24" s="110" t="s">
        <v>114</v>
      </c>
      <c r="C24" s="105" t="str">
        <f>VLOOKUP(Table257552526910134344464748495657585963151817192245[[#This Row],[PEG]],Table1016[#All],2,FALSE)</f>
        <v>0900.wav Please hold, while I connect you to a customer service representative.</v>
      </c>
      <c r="D24" s="113">
        <v>900</v>
      </c>
      <c r="E24" s="122" t="str">
        <f>VLOOKUP(Table257552526910134344464748495657585963151817192245[[#This Row],[PEG]],Table1016[#All],3,FALSE)</f>
        <v>PLAY PROMPT</v>
      </c>
    </row>
    <row r="25" spans="1:5">
      <c r="A25" s="114">
        <v>18</v>
      </c>
      <c r="B25" s="110" t="s">
        <v>12</v>
      </c>
      <c r="C25" s="105" t="str">
        <f>VLOOKUP(Table257552526910134344464748495657585963151817192245[[#This Row],[PEG]],Table1016[#All],2,FALSE)</f>
        <v>XferNbr.wav Transfer Number &lt;TransferNbr&gt;</v>
      </c>
      <c r="D25" s="113" t="s">
        <v>480</v>
      </c>
      <c r="E25" s="122" t="str">
        <f>VLOOKUP(Table257552526910134344464748495657585963151817192245[[#This Row],[PEG]],Table1016[#All],3,FALSE)</f>
        <v>TEST</v>
      </c>
    </row>
    <row r="26" spans="1:5">
      <c r="A26" s="114">
        <v>19</v>
      </c>
      <c r="B26" s="110" t="s">
        <v>13</v>
      </c>
      <c r="C26" s="17" t="s">
        <v>13</v>
      </c>
      <c r="D26" s="111"/>
      <c r="E26" s="31"/>
    </row>
    <row r="27" spans="1:5">
      <c r="C27" s="25"/>
      <c r="D27" s="107" t="s">
        <v>0</v>
      </c>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5"/>
    </row>
    <row r="39" spans="3:3">
      <c r="C39" s="25"/>
    </row>
    <row r="40" spans="3:3">
      <c r="C40" s="25"/>
    </row>
    <row r="41" spans="3:3">
      <c r="C41" s="25"/>
    </row>
    <row r="42" spans="3:3">
      <c r="C42" s="26"/>
    </row>
    <row r="43" spans="3:3">
      <c r="C43" s="26"/>
    </row>
    <row r="44" spans="3:3">
      <c r="C44" s="26"/>
    </row>
  </sheetData>
  <mergeCells count="1">
    <mergeCell ref="A1:B1"/>
  </mergeCells>
  <conditionalFormatting sqref="B23:B26">
    <cfRule type="containsText" dxfId="5545" priority="23" operator="containsText" text="Hear">
      <formula>NOT(ISERROR(SEARCH("Hear",B23)))</formula>
    </cfRule>
  </conditionalFormatting>
  <conditionalFormatting sqref="E26">
    <cfRule type="containsText" dxfId="5544" priority="21" operator="containsText" text="WEB SERVICE">
      <formula>NOT(ISERROR(SEARCH("WEB SERVICE",E26)))</formula>
    </cfRule>
    <cfRule type="containsText" dxfId="5543" priority="22" operator="containsText" text="DB">
      <formula>NOT(ISERROR(SEARCH("DB",E26)))</formula>
    </cfRule>
  </conditionalFormatting>
  <conditionalFormatting sqref="C26:C9983">
    <cfRule type="expression" dxfId="5542" priority="24">
      <formula>$B26="Dial"</formula>
    </cfRule>
    <cfRule type="expression" dxfId="5541" priority="26">
      <formula>$B26="HANGUP"</formula>
    </cfRule>
  </conditionalFormatting>
  <conditionalFormatting sqref="C26">
    <cfRule type="expression" dxfId="5540" priority="25">
      <formula>$B26="Speak"</formula>
    </cfRule>
  </conditionalFormatting>
  <conditionalFormatting sqref="B8:B22">
    <cfRule type="containsText" dxfId="5539" priority="7" operator="containsText" text="Hear">
      <formula>NOT(ISERROR(SEARCH("Hear",B8)))</formula>
    </cfRule>
  </conditionalFormatting>
  <hyperlinks>
    <hyperlink ref="A1" location="'Test Case Overview'!A1" display="Return to Test Case Overview" xr:uid="{00000000-0004-0000-2500-000000000000}"/>
  </hyperlink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0" id="{0688A645-8A2E-40F8-B2CE-37063AC8F56C}">
            <xm:f>'TC1'!$B8="HANGUP"</xm:f>
            <x14:dxf>
              <font>
                <b/>
                <i val="0"/>
              </font>
            </x14:dxf>
          </x14:cfRule>
          <x14:cfRule type="expression" priority="28" id="{CC48B6DA-8720-44AE-A258-448FBCCDFB84}">
            <xm:f>'TC1'!$B8="Dial"</xm:f>
            <x14:dxf>
              <font>
                <b/>
                <i val="0"/>
                <color rgb="FFFF0000"/>
              </font>
            </x14:dxf>
          </x14:cfRule>
          <xm:sqref>C8</xm:sqref>
        </x14:conditionalFormatting>
        <x14:conditionalFormatting xmlns:xm="http://schemas.microsoft.com/office/excel/2006/main">
          <x14:cfRule type="expression" priority="29" id="{B0C459A9-F386-43A1-A05F-021723541204}">
            <xm:f>'TC1'!$B8="Speak"</xm:f>
            <x14:dxf>
              <font>
                <b/>
                <i val="0"/>
                <color rgb="FFFF0000"/>
              </font>
            </x14:dxf>
          </x14:cfRule>
          <xm:sqref>C8</xm:sqref>
        </x14:conditionalFormatting>
        <x14:conditionalFormatting xmlns:xm="http://schemas.microsoft.com/office/excel/2006/main">
          <x14:cfRule type="containsText" priority="30" operator="containsText" text="DB" id="{E1A9B347-0D7F-492A-AE0B-570FE25AD734}">
            <xm:f>NOT(ISERROR(SEARCH("DB",'TC1'!E10)))</xm:f>
            <x14:dxf>
              <font>
                <color rgb="FF006100"/>
              </font>
              <fill>
                <patternFill>
                  <bgColor rgb="FFC6EFCE"/>
                </patternFill>
              </fill>
            </x14:dxf>
          </x14:cfRule>
          <x14:cfRule type="containsText" priority="30" operator="containsText" text="WEB SERVICE" id="{2383F41A-2A15-4D7D-82D3-E7D9829CECB9}">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025" id="{0688A645-8A2E-40F8-B2CE-37063AC8F56C}">
            <xm:f>'TC1'!#REF!="HANGUP"</xm:f>
            <x14:dxf>
              <font>
                <b/>
                <i val="0"/>
              </font>
            </x14:dxf>
          </x14:cfRule>
          <x14:cfRule type="expression" priority="1026" id="{CC48B6DA-8720-44AE-A258-448FBCCDFB84}">
            <xm:f>'TC1'!#REF!="Dial"</xm:f>
            <x14:dxf>
              <font>
                <b/>
                <i val="0"/>
                <color rgb="FFFF0000"/>
              </font>
            </x14:dxf>
          </x14:cfRule>
          <xm:sqref>C13:C15 C17 C19:C25</xm:sqref>
        </x14:conditionalFormatting>
        <x14:conditionalFormatting xmlns:xm="http://schemas.microsoft.com/office/excel/2006/main">
          <x14:cfRule type="expression" priority="1031" id="{B0C459A9-F386-43A1-A05F-021723541204}">
            <xm:f>'TC1'!#REF!="Speak"</xm:f>
            <x14:dxf>
              <font>
                <b/>
                <i val="0"/>
                <color rgb="FFFF0000"/>
              </font>
            </x14:dxf>
          </x14:cfRule>
          <xm:sqref>C13:C15 C17 C19:C25</xm:sqref>
        </x14:conditionalFormatting>
        <x14:conditionalFormatting xmlns:xm="http://schemas.microsoft.com/office/excel/2006/main">
          <x14:cfRule type="containsText" priority="1037" operator="containsText" text="DB" id="{E1A9B347-0D7F-492A-AE0B-570FE25AD734}">
            <xm:f>NOT(ISERROR(SEARCH("DB",'TC1'!#REF!)))</xm:f>
            <x14:dxf>
              <font>
                <color rgb="FF006100"/>
              </font>
              <fill>
                <patternFill>
                  <bgColor rgb="FFC6EFCE"/>
                </patternFill>
              </fill>
            </x14:dxf>
          </x14:cfRule>
          <x14:cfRule type="containsText" priority="1038" operator="containsText" text="WEB SERVICE" id="{2383F41A-2A15-4D7D-82D3-E7D9829CECB9}">
            <xm:f>NOT(ISERROR(SEARCH("WEB SERVICE",'TC1'!#REF!)))</xm:f>
            <x14:dxf>
              <font>
                <color rgb="FF9C0006"/>
              </font>
              <fill>
                <patternFill>
                  <bgColor rgb="FFFFC7CE"/>
                </patternFill>
              </fill>
            </x14:dxf>
          </x14:cfRule>
          <xm:sqref>E13:E25</xm:sqref>
        </x14:conditionalFormatting>
        <x14:conditionalFormatting xmlns:xm="http://schemas.microsoft.com/office/excel/2006/main">
          <x14:cfRule type="expression" priority="3692" id="{0688A645-8A2E-40F8-B2CE-37063AC8F56C}">
            <xm:f>'TC1'!$B10="HANGUP"</xm:f>
            <x14:dxf>
              <font>
                <b/>
                <i val="0"/>
              </font>
            </x14:dxf>
          </x14:cfRule>
          <x14:cfRule type="expression" priority="3693" id="{CC48B6DA-8720-44AE-A258-448FBCCDFB84}">
            <xm:f>'TC1'!$B10="Dial"</xm:f>
            <x14:dxf>
              <font>
                <b/>
                <i val="0"/>
                <color rgb="FFFF0000"/>
              </font>
            </x14:dxf>
          </x14:cfRule>
          <xm:sqref>C9:C12</xm:sqref>
        </x14:conditionalFormatting>
        <x14:conditionalFormatting xmlns:xm="http://schemas.microsoft.com/office/excel/2006/main">
          <x14:cfRule type="expression" priority="3695" id="{B0C459A9-F386-43A1-A05F-021723541204}">
            <xm:f>'TC1'!$B10="Speak"</xm:f>
            <x14:dxf>
              <font>
                <b/>
                <i val="0"/>
                <color rgb="FFFF0000"/>
              </font>
            </x14:dxf>
          </x14:cfRule>
          <xm:sqref>C9:C12</xm:sqref>
        </x14:conditionalFormatting>
        <x14:conditionalFormatting xmlns:xm="http://schemas.microsoft.com/office/excel/2006/main">
          <x14:cfRule type="expression" priority="4" id="{86750FD0-A247-49EE-99B4-F10946A60A82}">
            <xm:f>'\Users\deannah\Wyndham Testing\[Wyndham Destinations_TestCaseOverview_V3_Template.xlsx]TC1'!#REF!="HANGUP"</xm:f>
            <x14:dxf>
              <font>
                <b/>
                <i val="0"/>
              </font>
            </x14:dxf>
          </x14:cfRule>
          <x14:cfRule type="expression" priority="5" id="{46B979A5-5FE3-48E6-8371-B5E2EC52AA9C}">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6" id="{FEF1B437-A347-40C2-9CBC-A7582E16C686}">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1" id="{B44EC934-7B41-4FA1-8BBD-5B0D81E13635}">
            <xm:f>'\Users\deannah\Wyndham Testing\[Wyndham Destinations_TestCaseOverview_V3_Template.xlsx]TC1'!#REF!="HANGUP"</xm:f>
            <x14:dxf>
              <font>
                <b/>
                <i val="0"/>
              </font>
            </x14:dxf>
          </x14:cfRule>
          <x14:cfRule type="expression" priority="2" id="{FD06A497-3400-43F9-BF1B-2D963A925356}">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3" id="{C211FBA0-527A-4495-9D67-75D9D22EDC8A}">
            <xm:f>'\Users\deannah\Wyndham Testing\[Wyndham Destinations_TestCaseOverview_V3_Template.xlsx]TC1'!#REF!="Speak"</xm:f>
            <x14:dxf>
              <font>
                <b/>
                <i val="0"/>
                <color rgb="FFFF0000"/>
              </font>
            </x14:dxf>
          </x14:cfRule>
          <xm:sqref>C18</xm:sqref>
        </x14:conditionalFormatting>
      </x14:conditionalFormatting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dimension ref="A1:E43"/>
  <sheetViews>
    <sheetView zoomScaleNormal="100" workbookViewId="0">
      <selection activeCell="C5" sqref="C5"/>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TC38</v>
      </c>
    </row>
    <row r="3" spans="1:5">
      <c r="A3" s="100" t="s">
        <v>19</v>
      </c>
      <c r="B3" s="108">
        <f ca="1">VLOOKUP(B2,Table1[#All],2,FALSE)</f>
        <v>0</v>
      </c>
    </row>
    <row r="4" spans="1:5" ht="30">
      <c r="A4" s="109" t="s">
        <v>20</v>
      </c>
      <c r="B4" s="95" t="str">
        <f ca="1">VLOOKUP(B2,Table1[#All],4,FALSE)</f>
        <v xml:space="preserve">serviceType=RequestDocs, 1098 msg not active, Tax Docs/else (not yes) </v>
      </c>
    </row>
    <row r="5" spans="1:5" ht="75">
      <c r="A5" s="100" t="s">
        <v>6</v>
      </c>
      <c r="B5" s="89" t="str">
        <f ca="1">VLOOKUP(B2,Table1[#All],3,FALSE)</f>
        <v>CallStart Main Menu/Pmts and Statements/request doc/ serviceType=requestDocs/ID Auth/ID Auth True,Finance Exception code=else/Tax Docs/ else/Xfer</v>
      </c>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VLOOKUP(Table25755252691013434446474849565758596315181719224566[[#This Row],[PEG]],Table1016[#All],2,FALSE)</f>
        <v>CallID.wav Call ID &lt;CallID&gt;</v>
      </c>
      <c r="D9" s="149" t="s">
        <v>477</v>
      </c>
      <c r="E9" s="122" t="str">
        <f>VLOOKUP(Table25755252691013434446474849565758596315181719224566[[#This Row],[PEG]],Table1016[#All],3,FALSE)</f>
        <v>TEST</v>
      </c>
    </row>
    <row r="10" spans="1:5" ht="30">
      <c r="A10" s="114">
        <v>3</v>
      </c>
      <c r="B10" s="110" t="s">
        <v>115</v>
      </c>
      <c r="C10" s="105" t="str">
        <f>VLOOKUP(Table25755252691013434446474849565758596315181719224566[[#This Row],[PEG]],Table1016[#All],2,FALSE)</f>
        <v>0100.wav Thank you for calling Shell vacations Club, we are glad you called. Please have your account number available for faster service. [To continue in Spanish, press 9]</v>
      </c>
      <c r="D10" s="149">
        <v>100</v>
      </c>
      <c r="E10" s="122" t="str">
        <f>VLOOKUP(Table25755252691013434446474849565758596315181719224566[[#This Row],[PEG]],Table1016[#All],3,FALSE)</f>
        <v>PLAY PROMPT</v>
      </c>
    </row>
    <row r="11" spans="1:5" ht="30">
      <c r="A11" s="114">
        <v>4</v>
      </c>
      <c r="B11" s="110" t="s">
        <v>115</v>
      </c>
      <c r="C11" s="105" t="str">
        <f>VLOOKUP(Table25755252691013434446474849565758596315181719224566[[#This Row],[PEG]],Table1016[#All],2,FALSE)</f>
        <v>0110-1.wav Which would you like? You can say... reservations, payments &amp; statements, title &amp; ownership changes, or more options.</v>
      </c>
      <c r="D11" s="149">
        <v>110</v>
      </c>
      <c r="E11" s="122" t="str">
        <f>VLOOKUP(Table25755252691013434446474849565758596315181719224566[[#This Row],[PEG]],Table1016[#All],3,FALSE)</f>
        <v>MENU PROMPT</v>
      </c>
    </row>
    <row r="12" spans="1:5">
      <c r="A12" s="114">
        <v>5</v>
      </c>
      <c r="B12" s="110" t="s">
        <v>124</v>
      </c>
      <c r="C12" s="158" t="s">
        <v>634</v>
      </c>
      <c r="D12" s="149"/>
      <c r="E12" s="122" t="e">
        <f>VLOOKUP(Table25755252691013434446474849565758596315181719224566[[#This Row],[PEG]],Table1016[#All],3,FALSE)</f>
        <v>#N/A</v>
      </c>
    </row>
    <row r="13" spans="1:5" ht="30">
      <c r="A13" s="114">
        <v>6</v>
      </c>
      <c r="B13" s="110" t="s">
        <v>115</v>
      </c>
      <c r="C13" s="105" t="str">
        <f>VLOOKUP(Table25755252691013434446474849565758596315181719224566[[#This Row],[PEG]],Table1016[#All],2,FALSE)</f>
        <v>400.wav You can say make a payment, check account status, request a document, or more options. Which would you like?</v>
      </c>
      <c r="D13" s="149">
        <v>400</v>
      </c>
      <c r="E13" s="122" t="str">
        <f>VLOOKUP(Table25755252691013434446474849565758596315181719224566[[#This Row],[PEG]],Table1016[#All],3,FALSE)</f>
        <v>MENU PROMPT</v>
      </c>
    </row>
    <row r="14" spans="1:5">
      <c r="A14" s="114">
        <v>7</v>
      </c>
      <c r="B14" s="110" t="s">
        <v>124</v>
      </c>
      <c r="C14" s="151" t="s">
        <v>575</v>
      </c>
      <c r="D14" s="149"/>
      <c r="E14" s="122" t="e">
        <f>VLOOKUP(Table25755252691013434446474849565758596315181719224566[[#This Row],[PEG]],Table1016[#All],3,FALSE)</f>
        <v>#N/A</v>
      </c>
    </row>
    <row r="15" spans="1:5">
      <c r="A15" s="114">
        <v>8</v>
      </c>
      <c r="B15" s="110" t="s">
        <v>115</v>
      </c>
      <c r="C15" s="105" t="str">
        <f>VLOOKUP(Table25755252691013434446474849565758596315181719224566[[#This Row],[PEG]],Table1016[#All],2,FALSE)</f>
        <v>0200-1.wav To get started, what is your account number?</v>
      </c>
      <c r="D15" s="112">
        <v>200</v>
      </c>
      <c r="E15" s="122" t="str">
        <f>VLOOKUP(Table25755252691013434446474849565758596315181719224566[[#This Row],[PEG]],Table1016[#All],3,FALSE)</f>
        <v>MENU PROMPT</v>
      </c>
    </row>
    <row r="16" spans="1:5">
      <c r="A16" s="114">
        <v>9</v>
      </c>
      <c r="B16" s="110" t="s">
        <v>114</v>
      </c>
      <c r="C16" s="151" t="s">
        <v>515</v>
      </c>
      <c r="D16" s="112"/>
      <c r="E16" s="122" t="e">
        <f>VLOOKUP(Table25755252691013434446474849565758596315181719224566[[#This Row],[PEG]],Table1016[#All],3,FALSE)</f>
        <v>#N/A</v>
      </c>
    </row>
    <row r="17" spans="1:5">
      <c r="A17" s="114">
        <v>10</v>
      </c>
      <c r="B17" s="110" t="s">
        <v>115</v>
      </c>
      <c r="C17" s="105" t="str">
        <f>VLOOKUP(Table25755252691013434446474849565758596315181719224566[[#This Row],[PEG]],Table1016[#All],2,FALSE)</f>
        <v>0210-1.wav And the date of birth for the primary owner?</v>
      </c>
      <c r="D17" s="113">
        <v>210</v>
      </c>
      <c r="E17" s="122" t="str">
        <f>VLOOKUP(Table25755252691013434446474849565758596315181719224566[[#This Row],[PEG]],Table1016[#All],3,FALSE)</f>
        <v>MENU PROMPT</v>
      </c>
    </row>
    <row r="18" spans="1:5">
      <c r="A18" s="114">
        <v>11</v>
      </c>
      <c r="B18" s="110" t="s">
        <v>124</v>
      </c>
      <c r="C18" s="151" t="s">
        <v>524</v>
      </c>
      <c r="D18" s="113"/>
      <c r="E18" s="122" t="e">
        <f>VLOOKUP(Table25755252691013434446474849565758596315181719224566[[#This Row],[PEG]],Table1016[#All],3,FALSE)</f>
        <v>#N/A</v>
      </c>
    </row>
    <row r="19" spans="1:5" ht="30">
      <c r="A19" s="114">
        <v>12</v>
      </c>
      <c r="B19" s="110" t="s">
        <v>115</v>
      </c>
      <c r="C19" s="105" t="str">
        <f>VLOOKUP(Table25755252691013434446474849565758596315181719224566[[#This Row],[PEG]],Table1016[#All],2,FALSE)</f>
        <v xml:space="preserve">0470.wav Which document would you like? You can say pay-off quote, statements, cancellation letter or tax documents. </v>
      </c>
      <c r="D19" s="113">
        <v>470</v>
      </c>
      <c r="E19" s="122" t="str">
        <f>VLOOKUP(Table25755252691013434446474849565758596315181719224566[[#This Row],[PEG]],Table1016[#All],3,FALSE)</f>
        <v>MENU PROMPT</v>
      </c>
    </row>
    <row r="20" spans="1:5">
      <c r="A20" s="114">
        <v>13</v>
      </c>
      <c r="B20" s="110" t="s">
        <v>124</v>
      </c>
      <c r="C20" s="151" t="s">
        <v>591</v>
      </c>
      <c r="D20" s="113"/>
      <c r="E20" s="122" t="e">
        <f>VLOOKUP(Table25755252691013434446474849565758596315181719224566[[#This Row],[PEG]],Table1016[#All],3,FALSE)</f>
        <v>#N/A</v>
      </c>
    </row>
    <row r="21" spans="1:5">
      <c r="A21" s="114">
        <v>14</v>
      </c>
      <c r="B21" s="110" t="s">
        <v>115</v>
      </c>
      <c r="C21" s="105" t="str">
        <f>VLOOKUP(Table25755252691013434446474849565758596315181719224566[[#This Row],[PEG]],Table1016[#All],2,FALSE)</f>
        <v xml:space="preserve">0490.wav Would you like me to send a copy of your most recent 1098 tax document to the address on file? </v>
      </c>
      <c r="D21" s="113">
        <v>490</v>
      </c>
      <c r="E21" s="122" t="str">
        <f>VLOOKUP(Table25755252691013434446474849565758596315181719224566[[#This Row],[PEG]],Table1016[#All],3,FALSE)</f>
        <v>MENU PROMPT</v>
      </c>
    </row>
    <row r="22" spans="1:5">
      <c r="A22" s="114">
        <v>15</v>
      </c>
      <c r="B22" s="110" t="s">
        <v>124</v>
      </c>
      <c r="C22" s="151" t="s">
        <v>584</v>
      </c>
      <c r="D22" s="113"/>
      <c r="E22" s="122" t="e">
        <f>VLOOKUP(Table25755252691013434446474849565758596315181719224566[[#This Row],[PEG]],Table1016[#All],3,FALSE)</f>
        <v>#N/A</v>
      </c>
    </row>
    <row r="23" spans="1:5">
      <c r="A23" s="114">
        <v>16</v>
      </c>
      <c r="B23" s="110" t="s">
        <v>115</v>
      </c>
      <c r="C23" s="105" t="str">
        <f>VLOOKUP(Table25755252691013434446474849565758596315181719224566[[#This Row],[PEG]],Table1016[#All],2,FALSE)</f>
        <v>0900.wav Please hold, while I connect you to a customer service representative.</v>
      </c>
      <c r="D23" s="113">
        <v>900</v>
      </c>
      <c r="E23" s="122" t="str">
        <f>VLOOKUP(Table25755252691013434446474849565758596315181719224566[[#This Row],[PEG]],Table1016[#All],3,FALSE)</f>
        <v>PLAY PROMPT</v>
      </c>
    </row>
    <row r="24" spans="1:5">
      <c r="A24" s="114">
        <v>17</v>
      </c>
      <c r="B24" s="110" t="s">
        <v>115</v>
      </c>
      <c r="C24" s="105" t="str">
        <f>VLOOKUP(Table25755252691013434446474849565758596315181719224566[[#This Row],[PEG]],Table1016[#All],2,FALSE)</f>
        <v>XferNbr.wav Transfer Number &lt;TransferNbr&gt;</v>
      </c>
      <c r="D24" s="113" t="s">
        <v>480</v>
      </c>
      <c r="E24" s="122" t="str">
        <f>VLOOKUP(Table25755252691013434446474849565758596315181719224566[[#This Row],[PEG]],Table1016[#All],3,FALSE)</f>
        <v>TEST</v>
      </c>
    </row>
    <row r="25" spans="1:5">
      <c r="A25" s="114">
        <v>18</v>
      </c>
      <c r="B25" s="110" t="s">
        <v>13</v>
      </c>
      <c r="C25" s="17" t="s">
        <v>13</v>
      </c>
      <c r="D25" s="111"/>
      <c r="E25" s="31"/>
    </row>
    <row r="26" spans="1:5">
      <c r="C26" s="25"/>
      <c r="D26" s="107" t="s">
        <v>0</v>
      </c>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5"/>
    </row>
    <row r="39" spans="3:3">
      <c r="C39" s="25"/>
    </row>
    <row r="40" spans="3:3">
      <c r="C40" s="25"/>
    </row>
    <row r="41" spans="3:3">
      <c r="C41" s="26"/>
    </row>
    <row r="42" spans="3:3">
      <c r="C42" s="26"/>
    </row>
    <row r="43" spans="3:3">
      <c r="C43" s="26"/>
    </row>
  </sheetData>
  <mergeCells count="1">
    <mergeCell ref="A1:B1"/>
  </mergeCells>
  <conditionalFormatting sqref="B25">
    <cfRule type="containsText" dxfId="5510" priority="26" operator="containsText" text="Hear">
      <formula>NOT(ISERROR(SEARCH("Hear",B25)))</formula>
    </cfRule>
  </conditionalFormatting>
  <conditionalFormatting sqref="E25">
    <cfRule type="containsText" dxfId="5509" priority="24" operator="containsText" text="WEB SERVICE">
      <formula>NOT(ISERROR(SEARCH("WEB SERVICE",E25)))</formula>
    </cfRule>
    <cfRule type="containsText" dxfId="5508" priority="25" operator="containsText" text="DB">
      <formula>NOT(ISERROR(SEARCH("DB",E25)))</formula>
    </cfRule>
  </conditionalFormatting>
  <conditionalFormatting sqref="C25:C9982">
    <cfRule type="expression" dxfId="5507" priority="27">
      <formula>$B25="Dial"</formula>
    </cfRule>
    <cfRule type="expression" dxfId="5506" priority="29">
      <formula>$B25="HANGUP"</formula>
    </cfRule>
  </conditionalFormatting>
  <conditionalFormatting sqref="C25">
    <cfRule type="expression" dxfId="5505" priority="28">
      <formula>$B25="Speak"</formula>
    </cfRule>
  </conditionalFormatting>
  <conditionalFormatting sqref="B8">
    <cfRule type="containsText" dxfId="5504" priority="10" operator="containsText" text="Hear">
      <formula>NOT(ISERROR(SEARCH("Hear",B8)))</formula>
    </cfRule>
  </conditionalFormatting>
  <conditionalFormatting sqref="B23:B24">
    <cfRule type="containsText" dxfId="5503" priority="9" operator="containsText" text="Hear">
      <formula>NOT(ISERROR(SEARCH("Hear",B23)))</formula>
    </cfRule>
  </conditionalFormatting>
  <conditionalFormatting sqref="B19:B22">
    <cfRule type="containsText" dxfId="5502" priority="8" operator="containsText" text="Hear">
      <formula>NOT(ISERROR(SEARCH("Hear",B19)))</formula>
    </cfRule>
  </conditionalFormatting>
  <conditionalFormatting sqref="B9:B18">
    <cfRule type="containsText" dxfId="5501" priority="7" operator="containsText" text="Hear">
      <formula>NOT(ISERROR(SEARCH("Hear",B9)))</formula>
    </cfRule>
  </conditionalFormatting>
  <hyperlinks>
    <hyperlink ref="A1" location="'Test Case Overview'!A1" display="Return to Test Case Overview" xr:uid="{00000000-0004-0000-26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3" id="{FAD1BE53-41AA-4B0C-8104-0B0A35BB2E2D}">
            <xm:f>'TC1'!$B8="HANGUP"</xm:f>
            <x14:dxf>
              <font>
                <b/>
                <i val="0"/>
              </font>
            </x14:dxf>
          </x14:cfRule>
          <x14:cfRule type="expression" priority="31" id="{0A80D8C0-EABE-42B4-9C4B-A88BD748A368}">
            <xm:f>'TC1'!$B8="Dial"</xm:f>
            <x14:dxf>
              <font>
                <b/>
                <i val="0"/>
                <color rgb="FFFF0000"/>
              </font>
            </x14:dxf>
          </x14:cfRule>
          <xm:sqref>C8</xm:sqref>
        </x14:conditionalFormatting>
        <x14:conditionalFormatting xmlns:xm="http://schemas.microsoft.com/office/excel/2006/main">
          <x14:cfRule type="expression" priority="32" id="{642CAE7D-E70C-4B91-BF05-1C29850610D6}">
            <xm:f>'TC1'!$B8="Speak"</xm:f>
            <x14:dxf>
              <font>
                <b/>
                <i val="0"/>
                <color rgb="FFFF0000"/>
              </font>
            </x14:dxf>
          </x14:cfRule>
          <xm:sqref>C8</xm:sqref>
        </x14:conditionalFormatting>
        <x14:conditionalFormatting xmlns:xm="http://schemas.microsoft.com/office/excel/2006/main">
          <x14:cfRule type="containsText" priority="33" operator="containsText" text="WEB SERVICE" id="{7C6AB73E-6498-4AF4-9C21-BECD81998570}">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046" id="{FAD1BE53-41AA-4B0C-8104-0B0A35BB2E2D}">
            <xm:f>'TC1'!#REF!="HANGUP"</xm:f>
            <x14:dxf>
              <font>
                <b/>
                <i val="0"/>
              </font>
            </x14:dxf>
          </x14:cfRule>
          <x14:cfRule type="expression" priority="1047" id="{0A80D8C0-EABE-42B4-9C4B-A88BD748A368}">
            <xm:f>'TC1'!#REF!="Dial"</xm:f>
            <x14:dxf>
              <font>
                <b/>
                <i val="0"/>
                <color rgb="FFFF0000"/>
              </font>
            </x14:dxf>
          </x14:cfRule>
          <xm:sqref>C13:C15 C17 C19:C24</xm:sqref>
        </x14:conditionalFormatting>
        <x14:conditionalFormatting xmlns:xm="http://schemas.microsoft.com/office/excel/2006/main">
          <x14:cfRule type="expression" priority="1052" id="{642CAE7D-E70C-4B91-BF05-1C29850610D6}">
            <xm:f>'TC1'!#REF!="Speak"</xm:f>
            <x14:dxf>
              <font>
                <b/>
                <i val="0"/>
                <color rgb="FFFF0000"/>
              </font>
            </x14:dxf>
          </x14:cfRule>
          <xm:sqref>C13:C15 C17 C19:C24</xm:sqref>
        </x14:conditionalFormatting>
        <x14:conditionalFormatting xmlns:xm="http://schemas.microsoft.com/office/excel/2006/main">
          <x14:cfRule type="containsText" priority="1056" operator="containsText" text="WEB SERVICE" id="{7C6AB73E-6498-4AF4-9C21-BECD81998570}">
            <xm:f>NOT(ISERROR(SEARCH("WEB SERVICE",'TC1'!#REF!)))</xm:f>
            <x14:dxf>
              <font>
                <color rgb="FF9C0006"/>
              </font>
              <fill>
                <patternFill>
                  <bgColor rgb="FFFFC7CE"/>
                </patternFill>
              </fill>
            </x14:dxf>
          </x14:cfRule>
          <xm:sqref>E13:E24</xm:sqref>
        </x14:conditionalFormatting>
        <x14:conditionalFormatting xmlns:xm="http://schemas.microsoft.com/office/excel/2006/main">
          <x14:cfRule type="expression" priority="3701" id="{FAD1BE53-41AA-4B0C-8104-0B0A35BB2E2D}">
            <xm:f>'TC1'!$B10="HANGUP"</xm:f>
            <x14:dxf>
              <font>
                <b/>
                <i val="0"/>
              </font>
            </x14:dxf>
          </x14:cfRule>
          <x14:cfRule type="expression" priority="3702" id="{0A80D8C0-EABE-42B4-9C4B-A88BD748A368}">
            <xm:f>'TC1'!$B10="Dial"</xm:f>
            <x14:dxf>
              <font>
                <b/>
                <i val="0"/>
                <color rgb="FFFF0000"/>
              </font>
            </x14:dxf>
          </x14:cfRule>
          <xm:sqref>C9:C12</xm:sqref>
        </x14:conditionalFormatting>
        <x14:conditionalFormatting xmlns:xm="http://schemas.microsoft.com/office/excel/2006/main">
          <x14:cfRule type="expression" priority="3704" id="{642CAE7D-E70C-4B91-BF05-1C29850610D6}">
            <xm:f>'TC1'!$B10="Speak"</xm:f>
            <x14:dxf>
              <font>
                <b/>
                <i val="0"/>
                <color rgb="FFFF0000"/>
              </font>
            </x14:dxf>
          </x14:cfRule>
          <xm:sqref>C9:C12</xm:sqref>
        </x14:conditionalFormatting>
        <x14:conditionalFormatting xmlns:xm="http://schemas.microsoft.com/office/excel/2006/main">
          <x14:cfRule type="expression" priority="4" id="{4F6E2C6D-E4E0-4700-B2CB-ABFE6CADDE4C}">
            <xm:f>'\Users\deannah\Wyndham Testing\[Wyndham Destinations_TestCaseOverview_V3_Template.xlsx]TC1'!#REF!="HANGUP"</xm:f>
            <x14:dxf>
              <font>
                <b/>
                <i val="0"/>
              </font>
            </x14:dxf>
          </x14:cfRule>
          <x14:cfRule type="expression" priority="5" id="{0924DB67-0533-475D-B8BB-AED44DA63D5A}">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6" id="{715841B3-8444-4660-9175-61C667C4D50D}">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1" id="{41BDE740-01E9-4CB3-B0B8-8FAE771859B0}">
            <xm:f>'\Users\deannah\Wyndham Testing\[Wyndham Destinations_TestCaseOverview_V3_Template.xlsx]TC1'!#REF!="HANGUP"</xm:f>
            <x14:dxf>
              <font>
                <b/>
                <i val="0"/>
              </font>
            </x14:dxf>
          </x14:cfRule>
          <x14:cfRule type="expression" priority="2" id="{673B880B-F975-498E-BAF4-9DA59151331D}">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3" id="{4D109926-1040-438A-98BE-2F7B84C4FA59}">
            <xm:f>'\Users\deannah\Wyndham Testing\[Wyndham Destinations_TestCaseOverview_V3_Template.xlsx]TC1'!#REF!="Speak"</xm:f>
            <x14:dxf>
              <font>
                <b/>
                <i val="0"/>
                <color rgb="FFFF0000"/>
              </font>
            </x14:dxf>
          </x14:cfRule>
          <xm:sqref>C18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E35"/>
  <sheetViews>
    <sheetView zoomScaleNormal="100" workbookViewId="0">
      <selection activeCell="B22" sqref="B22"/>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TC3</v>
      </c>
    </row>
    <row r="3" spans="1:5">
      <c r="A3" s="100" t="s">
        <v>19</v>
      </c>
      <c r="B3" s="108">
        <f ca="1">VLOOKUP(B2,Table1[#All],2,FALSE)</f>
        <v>0</v>
      </c>
    </row>
    <row r="4" spans="1:5" ht="30">
      <c r="A4" s="109" t="s">
        <v>20</v>
      </c>
      <c r="B4" s="95">
        <f ca="1">VLOOKUP(B2,Table1[#All],4,FALSE)</f>
        <v>0</v>
      </c>
    </row>
    <row r="5" spans="1:5" ht="30">
      <c r="A5" s="100" t="s">
        <v>6</v>
      </c>
      <c r="B5" s="89" t="str">
        <f ca="1">VLOOKUP(B2,Table1[#All],3,FALSE)</f>
        <v>CallStart Main Menu More options Rewards to Xfer</v>
      </c>
    </row>
    <row r="7" spans="1:5" ht="15.75">
      <c r="A7" s="96" t="s">
        <v>7</v>
      </c>
      <c r="B7" s="97" t="s">
        <v>8</v>
      </c>
      <c r="C7" s="98" t="s">
        <v>9</v>
      </c>
      <c r="D7" s="98" t="s">
        <v>14</v>
      </c>
      <c r="E7" s="99" t="s">
        <v>10</v>
      </c>
    </row>
    <row r="8" spans="1:5" s="93" customFormat="1">
      <c r="A8" s="114">
        <v>1</v>
      </c>
      <c r="B8" s="110" t="s">
        <v>114</v>
      </c>
      <c r="C8" s="124" t="s">
        <v>125</v>
      </c>
      <c r="D8" s="125"/>
      <c r="E8" s="122" t="s">
        <v>11</v>
      </c>
    </row>
    <row r="9" spans="1:5" s="93" customFormat="1">
      <c r="A9" s="114">
        <v>2</v>
      </c>
      <c r="B9" s="110" t="s">
        <v>115</v>
      </c>
      <c r="C9" s="146" t="str">
        <f>VLOOKUP(Table25755252670[[#This Row],[PEG]],Table1016[],2,FALSE)</f>
        <v>CallID.wav Call ID &lt;CallID&gt;</v>
      </c>
      <c r="D9" s="147" t="s">
        <v>477</v>
      </c>
      <c r="E9" s="122"/>
    </row>
    <row r="10" spans="1:5" s="93" customFormat="1" ht="30">
      <c r="A10" s="114">
        <v>3</v>
      </c>
      <c r="B10" s="110" t="s">
        <v>115</v>
      </c>
      <c r="C10" s="105" t="str">
        <f>VLOOKUP(Table257552526910[[#This Row],[PEG]],Table1016[#All],2,FALSE)</f>
        <v>0100.wav Thank you for calling Shell vacations Club, we are glad you called. Please have your account number available for faster service. [To continue in Spanish, press 9]</v>
      </c>
      <c r="D10" s="126">
        <v>100</v>
      </c>
      <c r="E10" s="122" t="str">
        <f>VLOOKUP(Table257552526910[[#This Row],[PEG]],Table1016[#All],3,FALSE)</f>
        <v>PLAY PROMPT</v>
      </c>
    </row>
    <row r="11" spans="1:5" s="93" customFormat="1" ht="30">
      <c r="A11" s="114">
        <v>4</v>
      </c>
      <c r="B11" s="110" t="s">
        <v>115</v>
      </c>
      <c r="C11" s="105" t="str">
        <f>VLOOKUP(Table257552526910[[#This Row],[PEG]],Table1016[#All],2,FALSE)</f>
        <v>0110-1.wav Which would you like? You can say... reservations, payments &amp; statements, title &amp; ownership changes, or more options.</v>
      </c>
      <c r="D11" s="126">
        <v>110</v>
      </c>
      <c r="E11" s="122" t="str">
        <f>VLOOKUP(Table257552526910[[#This Row],[PEG]],Table1016[#All],3,FALSE)</f>
        <v>MENU PROMPT</v>
      </c>
    </row>
    <row r="12" spans="1:5" s="93" customFormat="1">
      <c r="A12" s="114">
        <v>5</v>
      </c>
      <c r="B12" s="110" t="s">
        <v>124</v>
      </c>
      <c r="C12" s="105" t="s">
        <v>468</v>
      </c>
      <c r="D12" s="125"/>
      <c r="E12" s="122" t="e">
        <f>VLOOKUP(Table257552526910[[#This Row],[PEG]],Table1016[#All],3,FALSE)</f>
        <v>#N/A</v>
      </c>
    </row>
    <row r="13" spans="1:5" s="93" customFormat="1" ht="30">
      <c r="A13" s="114">
        <v>6</v>
      </c>
      <c r="B13" s="110" t="s">
        <v>115</v>
      </c>
      <c r="C13" s="105" t="str">
        <f>VLOOKUP(Table257552526910[[#This Row],[PEG]],Table1016[#All],2,FALSE)</f>
        <v>0120-1.wav You can say... Wyndham rewards, points conversion, personal interval choice, or speak to a representative.</v>
      </c>
      <c r="D13" s="145">
        <v>120</v>
      </c>
      <c r="E13" s="122" t="str">
        <f>VLOOKUP(Table257552526910[[#This Row],[PEG]],Table1016[#All],3,FALSE)</f>
        <v>MENU PROMPT</v>
      </c>
    </row>
    <row r="14" spans="1:5" s="93" customFormat="1">
      <c r="A14" s="114">
        <v>7</v>
      </c>
      <c r="B14" s="110" t="s">
        <v>124</v>
      </c>
      <c r="C14" s="105" t="s">
        <v>469</v>
      </c>
      <c r="D14" s="125"/>
      <c r="E14" s="122" t="e">
        <f>VLOOKUP(Table257552526910[[#This Row],[PEG]],Table1016[#All],3,FALSE)</f>
        <v>#N/A</v>
      </c>
    </row>
    <row r="15" spans="1:5" s="93" customFormat="1">
      <c r="A15" s="114">
        <v>8</v>
      </c>
      <c r="B15" s="110" t="s">
        <v>115</v>
      </c>
      <c r="C15" s="105" t="str">
        <f>VLOOKUP(Table257552526910[[#This Row],[PEG]],Table1016[#All],2,FALSE)</f>
        <v>0900.wav Please hold, while I connect you to a customer service representative.</v>
      </c>
      <c r="D15" s="145">
        <v>900</v>
      </c>
      <c r="E15" s="122" t="str">
        <f>VLOOKUP(Table257552526910[[#This Row],[PEG]],Table1016[#All],3,FALSE)</f>
        <v>PLAY PROMPT</v>
      </c>
    </row>
    <row r="16" spans="1:5">
      <c r="A16" s="114">
        <v>9</v>
      </c>
      <c r="B16" s="110" t="s">
        <v>115</v>
      </c>
      <c r="C16" s="105" t="str">
        <f>VLOOKUP(Table257552526910[[#This Row],[PEG]],Table1016[#All],2,FALSE)</f>
        <v>XferNbr.wav Transfer Number &lt;TransferNbr&gt;</v>
      </c>
      <c r="D16" s="112" t="s">
        <v>480</v>
      </c>
      <c r="E16" s="122" t="str">
        <f>VLOOKUP(Table257552526910[[#This Row],[PEG]],Table1016[#All],3,FALSE)</f>
        <v>TEST</v>
      </c>
    </row>
    <row r="17" spans="1:5">
      <c r="A17" s="114">
        <v>10</v>
      </c>
      <c r="B17" s="110" t="s">
        <v>13</v>
      </c>
      <c r="C17" s="127" t="s">
        <v>13</v>
      </c>
      <c r="D17" s="111"/>
      <c r="E17" s="31"/>
    </row>
    <row r="18" spans="1:5">
      <c r="C18" s="25"/>
      <c r="D18" s="107" t="s">
        <v>0</v>
      </c>
    </row>
    <row r="19" spans="1:5">
      <c r="C19" s="25"/>
    </row>
    <row r="20" spans="1:5">
      <c r="C20" s="25"/>
    </row>
    <row r="21" spans="1:5">
      <c r="C21" s="25"/>
    </row>
    <row r="22" spans="1:5">
      <c r="C22" s="25"/>
    </row>
    <row r="23" spans="1:5">
      <c r="C23" s="25"/>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6"/>
    </row>
    <row r="34" spans="3:3">
      <c r="C34" s="26"/>
    </row>
    <row r="35" spans="3:3">
      <c r="C35" s="26"/>
    </row>
  </sheetData>
  <mergeCells count="1">
    <mergeCell ref="A1:B1"/>
  </mergeCells>
  <conditionalFormatting sqref="E17">
    <cfRule type="containsText" dxfId="6629" priority="38" operator="containsText" text="WEB SERVICE">
      <formula>NOT(ISERROR(SEARCH("WEB SERVICE",E17)))</formula>
    </cfRule>
    <cfRule type="containsText" dxfId="6628" priority="39" operator="containsText" text="DB">
      <formula>NOT(ISERROR(SEARCH("DB",E17)))</formula>
    </cfRule>
  </conditionalFormatting>
  <conditionalFormatting sqref="C18:C9974 C10:C16">
    <cfRule type="expression" dxfId="6627" priority="41">
      <formula>$B10="Dial"</formula>
    </cfRule>
    <cfRule type="expression" dxfId="6626" priority="43">
      <formula>$B10="HANGUP"</formula>
    </cfRule>
  </conditionalFormatting>
  <conditionalFormatting sqref="C8">
    <cfRule type="expression" dxfId="6625" priority="3">
      <formula>$B8="Dial"</formula>
    </cfRule>
    <cfRule type="expression" dxfId="6624" priority="4">
      <formula>$B8="HANGUP"</formula>
    </cfRule>
  </conditionalFormatting>
  <conditionalFormatting sqref="B8:B17">
    <cfRule type="containsText" dxfId="6623" priority="7" operator="containsText" text="Hear">
      <formula>NOT(ISERROR(SEARCH("Hear",B8)))</formula>
    </cfRule>
  </conditionalFormatting>
  <conditionalFormatting sqref="C10:C16">
    <cfRule type="expression" dxfId="6622" priority="9">
      <formula>$B10="Speak"</formula>
    </cfRule>
  </conditionalFormatting>
  <conditionalFormatting sqref="C17">
    <cfRule type="expression" dxfId="6621" priority="5">
      <formula>$B17="Dial"</formula>
    </cfRule>
    <cfRule type="expression" dxfId="6620" priority="6">
      <formula>$B17="HANGUP"</formula>
    </cfRule>
  </conditionalFormatting>
  <conditionalFormatting sqref="C9">
    <cfRule type="expression" dxfId="6619" priority="1">
      <formula>$B9="Dial"</formula>
    </cfRule>
    <cfRule type="expression" dxfId="6618" priority="2">
      <formula>$B9="HANGUP"</formula>
    </cfRule>
  </conditionalFormatting>
  <hyperlinks>
    <hyperlink ref="A1" location="'Test Case Overview'!A1" display="Return to Test Case Overview" xr:uid="{00000000-0004-0000-0300-000000000000}"/>
  </hyperlink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32" operator="containsText" text="WEB SERVICE" id="{2257C688-3AA7-494E-B486-7F61C3592F68}">
            <xm:f>NOT(ISERROR(SEARCH("WEB SERVICE",'TC1'!E10)))</xm:f>
            <x14:dxf>
              <font>
                <color rgb="FF9C0006"/>
              </font>
              <fill>
                <patternFill>
                  <bgColor rgb="FFFFC7CE"/>
                </patternFill>
              </fill>
            </x14:dxf>
          </x14:cfRule>
          <x14:cfRule type="containsText" priority="33" operator="containsText" text="DB" id="{FDF9F0EB-A709-4B01-BC68-EE7FF9482F94}">
            <xm:f>NOT(ISERROR(SEARCH("DB",'TC1'!E10)))</xm:f>
            <x14:dxf>
              <font>
                <color rgb="FF006100"/>
              </font>
              <fill>
                <patternFill>
                  <bgColor rgb="FFC6EFCE"/>
                </patternFill>
              </fill>
            </x14:dxf>
          </x14:cfRule>
          <xm:sqref>E10:E13</xm:sqref>
        </x14:conditionalFormatting>
        <x14:conditionalFormatting xmlns:xm="http://schemas.microsoft.com/office/excel/2006/main">
          <x14:cfRule type="containsText" priority="697" operator="containsText" text="WEB SERVICE" id="{2257C688-3AA7-494E-B486-7F61C3592F68}">
            <xm:f>NOT(ISERROR(SEARCH("WEB SERVICE",'TC1'!#REF!)))</xm:f>
            <x14:dxf>
              <font>
                <color rgb="FF9C0006"/>
              </font>
              <fill>
                <patternFill>
                  <bgColor rgb="FFFFC7CE"/>
                </patternFill>
              </fill>
            </x14:dxf>
          </x14:cfRule>
          <x14:cfRule type="containsText" priority="698" operator="containsText" text="DB" id="{FDF9F0EB-A709-4B01-BC68-EE7FF9482F94}">
            <xm:f>NOT(ISERROR(SEARCH("DB",'TC1'!#REF!)))</xm:f>
            <x14:dxf>
              <font>
                <color rgb="FF006100"/>
              </font>
              <fill>
                <patternFill>
                  <bgColor rgb="FFC6EFCE"/>
                </patternFill>
              </fill>
            </x14:dxf>
          </x14:cfRule>
          <xm:sqref>E14:E16</xm:sqref>
        </x14:conditionalFormatting>
      </x14:conditionalFormatting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1"/>
  <dimension ref="A1:E44"/>
  <sheetViews>
    <sheetView zoomScaleNormal="100" workbookViewId="0">
      <selection activeCell="D9" sqref="D9:D22"/>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TC39</v>
      </c>
    </row>
    <row r="3" spans="1:5">
      <c r="A3" s="100" t="s">
        <v>19</v>
      </c>
      <c r="B3" s="108">
        <f ca="1">VLOOKUP(B2,Table1[#All],2,FALSE)</f>
        <v>0</v>
      </c>
    </row>
    <row r="4" spans="1:5" ht="45">
      <c r="A4" s="109" t="s">
        <v>20</v>
      </c>
      <c r="B4" s="95" t="str">
        <f ca="1">VLOOKUP(B2,Table1[#All],4,FALSE)</f>
        <v>serviceType=RequestDocs, 1098 msg not active, Tax Docs/yes OFS07 fails (based on transaction code)</v>
      </c>
    </row>
    <row r="5" spans="1:5" ht="75">
      <c r="A5" s="100" t="s">
        <v>6</v>
      </c>
      <c r="B5" s="89" t="str">
        <f ca="1">VLOOKUP(B2,Table1[#All],3,FALSE)</f>
        <v>CallStart Main Menu/Pmts and Statements/request doc/ serviceType=requestDocs/ID Auth/ID Auth True,Finance Exception code=else/Tax Docs/ yes/Xfer</v>
      </c>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VLOOKUP(Table2575525269101343444647484956575859631518171922456667[[#This Row],[PEG]],Table1016[#All],2,FALSE)</f>
        <v>CallID.wav Call ID &lt;CallID&gt;</v>
      </c>
      <c r="D9" s="149" t="s">
        <v>477</v>
      </c>
      <c r="E9" s="122" t="str">
        <f>VLOOKUP(Table2575525269101343444647484956575859631518171922456667[[#This Row],[PEG]],Table1016[#All],3,FALSE)</f>
        <v>TEST</v>
      </c>
    </row>
    <row r="10" spans="1:5" ht="30">
      <c r="A10" s="114">
        <v>3</v>
      </c>
      <c r="B10" s="110" t="s">
        <v>115</v>
      </c>
      <c r="C10" s="105" t="str">
        <f>VLOOKUP(Table2575525269101343444647484956575859631518171922456667[[#This Row],[PEG]],Table1016[#All],2,FALSE)</f>
        <v>0100.wav Thank you for calling Shell vacations Club, we are glad you called. Please have your account number available for faster service. [To continue in Spanish, press 9]</v>
      </c>
      <c r="D10" s="149">
        <v>100</v>
      </c>
      <c r="E10" s="122" t="str">
        <f>VLOOKUP(Table2575525269101343444647484956575859631518171922456667[[#This Row],[PEG]],Table1016[#All],3,FALSE)</f>
        <v>PLAY PROMPT</v>
      </c>
    </row>
    <row r="11" spans="1:5" ht="30">
      <c r="A11" s="114">
        <v>4</v>
      </c>
      <c r="B11" s="110" t="s">
        <v>115</v>
      </c>
      <c r="C11" s="105" t="str">
        <f>VLOOKUP(Table2575525269101343444647484956575859631518171922456667[[#This Row],[PEG]],Table1016[#All],2,FALSE)</f>
        <v>0110-1.wav Which would you like? You can say... reservations, payments &amp; statements, title &amp; ownership changes, or more options.</v>
      </c>
      <c r="D11" s="149">
        <v>110</v>
      </c>
      <c r="E11" s="122" t="str">
        <f>VLOOKUP(Table2575525269101343444647484956575859631518171922456667[[#This Row],[PEG]],Table1016[#All],3,FALSE)</f>
        <v>MENU PROMPT</v>
      </c>
    </row>
    <row r="12" spans="1:5">
      <c r="A12" s="114">
        <v>5</v>
      </c>
      <c r="B12" s="110" t="s">
        <v>124</v>
      </c>
      <c r="C12" s="158" t="s">
        <v>565</v>
      </c>
      <c r="D12" s="149"/>
      <c r="E12" s="122" t="e">
        <f>VLOOKUP(Table2575525269101343444647484956575859631518171922456667[[#This Row],[PEG]],Table1016[#All],3,FALSE)</f>
        <v>#N/A</v>
      </c>
    </row>
    <row r="13" spans="1:5" ht="30">
      <c r="A13" s="114">
        <v>6</v>
      </c>
      <c r="B13" s="110" t="s">
        <v>115</v>
      </c>
      <c r="C13" s="105" t="str">
        <f>VLOOKUP(Table2575525269101343444647484956575859631518171922456667[[#This Row],[PEG]],Table1016[#All],2,FALSE)</f>
        <v>400.wav You can say make a payment, check account status, request a document, or more options. Which would you like?</v>
      </c>
      <c r="D13" s="149">
        <v>400</v>
      </c>
      <c r="E13" s="122" t="str">
        <f>VLOOKUP(Table2575525269101343444647484956575859631518171922456667[[#This Row],[PEG]],Table1016[#All],3,FALSE)</f>
        <v>MENU PROMPT</v>
      </c>
    </row>
    <row r="14" spans="1:5">
      <c r="A14" s="114">
        <v>7</v>
      </c>
      <c r="B14" s="110" t="s">
        <v>124</v>
      </c>
      <c r="C14" s="151" t="s">
        <v>587</v>
      </c>
      <c r="D14" s="125"/>
      <c r="E14" s="122" t="e">
        <f>VLOOKUP(Table2575525269101343444647484956575859631518171922456667[[#This Row],[PEG]],Table1016[#All],3,FALSE)</f>
        <v>#N/A</v>
      </c>
    </row>
    <row r="15" spans="1:5">
      <c r="A15" s="114">
        <v>8</v>
      </c>
      <c r="B15" s="110" t="s">
        <v>115</v>
      </c>
      <c r="C15" s="105" t="str">
        <f>VLOOKUP(Table2575525269101343444647484956575859631518171922456667[[#This Row],[PEG]],Table1016[#All],2,FALSE)</f>
        <v>0200-1.wav To get started, what is your account number?</v>
      </c>
      <c r="D15" s="112">
        <v>200</v>
      </c>
      <c r="E15" s="122" t="str">
        <f>VLOOKUP(Table2575525269101343444647484956575859631518171922456667[[#This Row],[PEG]],Table1016[#All],3,FALSE)</f>
        <v>MENU PROMPT</v>
      </c>
    </row>
    <row r="16" spans="1:5">
      <c r="A16" s="114">
        <v>9</v>
      </c>
      <c r="B16" s="110" t="s">
        <v>114</v>
      </c>
      <c r="C16" s="151" t="s">
        <v>515</v>
      </c>
      <c r="D16" s="112"/>
      <c r="E16" s="122" t="e">
        <f>VLOOKUP(Table2575525269101343444647484956575859631518171922456667[[#This Row],[PEG]],Table1016[#All],3,FALSE)</f>
        <v>#N/A</v>
      </c>
    </row>
    <row r="17" spans="1:5">
      <c r="A17" s="114">
        <v>10</v>
      </c>
      <c r="B17" s="110" t="s">
        <v>12</v>
      </c>
      <c r="C17" s="105" t="str">
        <f>VLOOKUP(Table2575525269101343444647484956575859631518171922456667[[#This Row],[PEG]],Table1016[#All],2,FALSE)</f>
        <v>0210-1.wav And the date of birth for the primary owner?</v>
      </c>
      <c r="D17" s="113">
        <v>210</v>
      </c>
      <c r="E17" s="122" t="str">
        <f>VLOOKUP(Table2575525269101343444647484956575859631518171922456667[[#This Row],[PEG]],Table1016[#All],3,FALSE)</f>
        <v>MENU PROMPT</v>
      </c>
    </row>
    <row r="18" spans="1:5">
      <c r="A18" s="114">
        <v>11</v>
      </c>
      <c r="B18" s="110" t="s">
        <v>124</v>
      </c>
      <c r="C18" s="151" t="s">
        <v>524</v>
      </c>
      <c r="D18" s="113"/>
      <c r="E18" s="122" t="e">
        <f>VLOOKUP(Table2575525269101343444647484956575859631518171922456667[[#This Row],[PEG]],Table1016[#All],3,FALSE)</f>
        <v>#N/A</v>
      </c>
    </row>
    <row r="19" spans="1:5" ht="30">
      <c r="A19" s="114">
        <v>12</v>
      </c>
      <c r="B19" s="110" t="s">
        <v>115</v>
      </c>
      <c r="C19" s="105" t="str">
        <f>VLOOKUP(Table2575525269101343444647484956575859631518171922456667[[#This Row],[PEG]],Table1016[#All],2,FALSE)</f>
        <v xml:space="preserve">0470.wav Which document would you like? You can say pay-off quote, statements, cancellation letter or tax documents. </v>
      </c>
      <c r="D19" s="113">
        <v>470</v>
      </c>
      <c r="E19" s="122" t="str">
        <f>VLOOKUP(Table2575525269101343444647484956575859631518171922456667[[#This Row],[PEG]],Table1016[#All],3,FALSE)</f>
        <v>MENU PROMPT</v>
      </c>
    </row>
    <row r="20" spans="1:5">
      <c r="A20" s="114">
        <v>13</v>
      </c>
      <c r="B20" s="110" t="s">
        <v>124</v>
      </c>
      <c r="C20" s="151" t="s">
        <v>591</v>
      </c>
      <c r="D20" s="113"/>
      <c r="E20" s="122" t="e">
        <f>VLOOKUP(Table2575525269101343444647484956575859631518171922456667[[#This Row],[PEG]],Table1016[#All],3,FALSE)</f>
        <v>#N/A</v>
      </c>
    </row>
    <row r="21" spans="1:5">
      <c r="A21" s="114">
        <v>14</v>
      </c>
      <c r="B21" s="110" t="s">
        <v>115</v>
      </c>
      <c r="C21" s="105" t="str">
        <f>VLOOKUP(Table2575525269101343444647484956575859631518171922456667[[#This Row],[PEG]],Table1016[#All],2,FALSE)</f>
        <v xml:space="preserve">0490.wav Would you like me to send a copy of your most recent 1098 tax document to the address on file? </v>
      </c>
      <c r="D21" s="113">
        <v>490</v>
      </c>
      <c r="E21" s="122" t="str">
        <f>VLOOKUP(Table2575525269101343444647484956575859631518171922456667[[#This Row],[PEG]],Table1016[#All],3,FALSE)</f>
        <v>MENU PROMPT</v>
      </c>
    </row>
    <row r="22" spans="1:5">
      <c r="A22" s="114">
        <v>15</v>
      </c>
      <c r="B22" s="110" t="s">
        <v>124</v>
      </c>
      <c r="C22" s="151" t="s">
        <v>582</v>
      </c>
      <c r="D22" s="113"/>
      <c r="E22" s="122" t="e">
        <f>VLOOKUP(Table2575525269101343444647484956575859631518171922456667[[#This Row],[PEG]],Table1016[#All],3,FALSE)</f>
        <v>#N/A</v>
      </c>
    </row>
    <row r="23" spans="1:5">
      <c r="A23" s="114">
        <v>16</v>
      </c>
      <c r="B23" s="110" t="s">
        <v>115</v>
      </c>
      <c r="C23" s="105" t="str">
        <f>VLOOKUP(Table2575525269101343444647484956575859631518171922456667[[#This Row],[PEG]],Table1016[#All],2,FALSE)</f>
        <v>techDiff.wav I'm having trouble.</v>
      </c>
      <c r="D23" s="113" t="s">
        <v>209</v>
      </c>
      <c r="E23" s="122" t="str">
        <f>VLOOKUP(Table2575525269101343444647484956575859631518171922456667[[#This Row],[PEG]],Table1016[#All],3,FALSE)</f>
        <v>PLAY PROMPT</v>
      </c>
    </row>
    <row r="24" spans="1:5">
      <c r="A24" s="114">
        <v>17</v>
      </c>
      <c r="B24" s="110" t="s">
        <v>115</v>
      </c>
      <c r="C24" s="105" t="str">
        <f>VLOOKUP(Table2575525269101343444647484956575859631518171922456667[[#This Row],[PEG]],Table1016[#All],2,FALSE)</f>
        <v>0900.wav Please hold, while I connect you to a customer service representative.</v>
      </c>
      <c r="D24" s="113">
        <v>900</v>
      </c>
      <c r="E24" s="122" t="str">
        <f>VLOOKUP(Table2575525269101343444647484956575859631518171922456667[[#This Row],[PEG]],Table1016[#All],3,FALSE)</f>
        <v>PLAY PROMPT</v>
      </c>
    </row>
    <row r="25" spans="1:5">
      <c r="A25" s="114">
        <v>18</v>
      </c>
      <c r="B25" s="110" t="s">
        <v>115</v>
      </c>
      <c r="C25" s="105" t="str">
        <f>VLOOKUP(Table2575525269101343444647484956575859631518171922456667[[#This Row],[PEG]],Table1016[#All],2,FALSE)</f>
        <v>XferNbr.wav Transfer Number &lt;TransferNbr&gt;</v>
      </c>
      <c r="D25" s="113" t="s">
        <v>480</v>
      </c>
      <c r="E25" s="122" t="str">
        <f>VLOOKUP(Table2575525269101343444647484956575859631518171922456667[[#This Row],[PEG]],Table1016[#All],3,FALSE)</f>
        <v>TEST</v>
      </c>
    </row>
    <row r="26" spans="1:5">
      <c r="A26" s="114">
        <v>19</v>
      </c>
      <c r="B26" s="110" t="s">
        <v>13</v>
      </c>
      <c r="C26" s="105" t="s">
        <v>13</v>
      </c>
      <c r="D26" s="111"/>
      <c r="E26" s="31"/>
    </row>
    <row r="27" spans="1:5">
      <c r="C27" s="25"/>
      <c r="D27" s="107" t="s">
        <v>0</v>
      </c>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5"/>
    </row>
    <row r="39" spans="3:3">
      <c r="C39" s="25"/>
    </row>
    <row r="40" spans="3:3">
      <c r="C40" s="25"/>
    </row>
    <row r="41" spans="3:3">
      <c r="C41" s="25"/>
    </row>
    <row r="42" spans="3:3">
      <c r="C42" s="26"/>
    </row>
    <row r="43" spans="3:3">
      <c r="C43" s="26"/>
    </row>
    <row r="44" spans="3:3">
      <c r="C44" s="26"/>
    </row>
  </sheetData>
  <mergeCells count="1">
    <mergeCell ref="A1:B1"/>
  </mergeCells>
  <conditionalFormatting sqref="E26">
    <cfRule type="containsText" dxfId="5474" priority="29" operator="containsText" text="WEB SERVICE">
      <formula>NOT(ISERROR(SEARCH("WEB SERVICE",E26)))</formula>
    </cfRule>
    <cfRule type="containsText" dxfId="5473" priority="30" operator="containsText" text="DB">
      <formula>NOT(ISERROR(SEARCH("DB",E26)))</formula>
    </cfRule>
  </conditionalFormatting>
  <conditionalFormatting sqref="C26:C9983">
    <cfRule type="expression" dxfId="5472" priority="32">
      <formula>$B26="Dial"</formula>
    </cfRule>
    <cfRule type="expression" dxfId="5471" priority="34">
      <formula>$B26="HANGUP"</formula>
    </cfRule>
  </conditionalFormatting>
  <conditionalFormatting sqref="C26">
    <cfRule type="expression" dxfId="5470" priority="33">
      <formula>$B26="Speak"</formula>
    </cfRule>
  </conditionalFormatting>
  <conditionalFormatting sqref="B8 B20:B26">
    <cfRule type="containsText" dxfId="5469" priority="9" operator="containsText" text="Hear">
      <formula>NOT(ISERROR(SEARCH("Hear",B8)))</formula>
    </cfRule>
  </conditionalFormatting>
  <conditionalFormatting sqref="B9:B19">
    <cfRule type="containsText" dxfId="5468" priority="7" operator="containsText" text="Hear">
      <formula>NOT(ISERROR(SEARCH("Hear",B9)))</formula>
    </cfRule>
  </conditionalFormatting>
  <hyperlinks>
    <hyperlink ref="A1" location="'Test Case Overview'!A1" display="Return to Test Case Overview" xr:uid="{00000000-0004-0000-27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8" id="{22B3B4D5-9A07-4E36-BCB4-9DFF4F413760}">
            <xm:f>'TC1'!$B8="HANGUP"</xm:f>
            <x14:dxf>
              <font>
                <b/>
                <i val="0"/>
              </font>
            </x14:dxf>
          </x14:cfRule>
          <x14:cfRule type="expression" priority="36" id="{0CCA2B80-E0F0-409A-90EA-A5629DF3C1AF}">
            <xm:f>'TC1'!$B8="Dial"</xm:f>
            <x14:dxf>
              <font>
                <b/>
                <i val="0"/>
                <color rgb="FFFF0000"/>
              </font>
            </x14:dxf>
          </x14:cfRule>
          <xm:sqref>C8</xm:sqref>
        </x14:conditionalFormatting>
        <x14:conditionalFormatting xmlns:xm="http://schemas.microsoft.com/office/excel/2006/main">
          <x14:cfRule type="expression" priority="37" id="{83E76C91-B048-4E44-962E-99AF577E7136}">
            <xm:f>'TC1'!$B8="Speak"</xm:f>
            <x14:dxf>
              <font>
                <b/>
                <i val="0"/>
                <color rgb="FFFF0000"/>
              </font>
            </x14:dxf>
          </x14:cfRule>
          <xm:sqref>C8</xm:sqref>
        </x14:conditionalFormatting>
        <x14:conditionalFormatting xmlns:xm="http://schemas.microsoft.com/office/excel/2006/main">
          <x14:cfRule type="containsText" priority="16" operator="containsText" text="DB" id="{B9BE2868-90FD-4649-99ED-2D5AF48D4F21}">
            <xm:f>NOT(ISERROR(SEARCH("DB",'TC1'!E10)))</xm:f>
            <x14:dxf>
              <font>
                <color rgb="FF006100"/>
              </font>
              <fill>
                <patternFill>
                  <bgColor rgb="FFC6EFCE"/>
                </patternFill>
              </fill>
            </x14:dxf>
          </x14:cfRule>
          <x14:cfRule type="containsText" priority="38" operator="containsText" text="WEB SERVICE" id="{ECEED375-DB38-4603-A227-F142F506865F}">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059" id="{22B3B4D5-9A07-4E36-BCB4-9DFF4F413760}">
            <xm:f>'TC1'!#REF!="HANGUP"</xm:f>
            <x14:dxf>
              <font>
                <b/>
                <i val="0"/>
              </font>
            </x14:dxf>
          </x14:cfRule>
          <x14:cfRule type="expression" priority="1060" id="{0CCA2B80-E0F0-409A-90EA-A5629DF3C1AF}">
            <xm:f>'TC1'!#REF!="Dial"</xm:f>
            <x14:dxf>
              <font>
                <b/>
                <i val="0"/>
                <color rgb="FFFF0000"/>
              </font>
            </x14:dxf>
          </x14:cfRule>
          <xm:sqref>C13:C15 C19:C25 C17</xm:sqref>
        </x14:conditionalFormatting>
        <x14:conditionalFormatting xmlns:xm="http://schemas.microsoft.com/office/excel/2006/main">
          <x14:cfRule type="expression" priority="1065" id="{83E76C91-B048-4E44-962E-99AF577E7136}">
            <xm:f>'TC1'!#REF!="Speak"</xm:f>
            <x14:dxf>
              <font>
                <b/>
                <i val="0"/>
                <color rgb="FFFF0000"/>
              </font>
            </x14:dxf>
          </x14:cfRule>
          <xm:sqref>C13:C15 C19:C25 C17</xm:sqref>
        </x14:conditionalFormatting>
        <x14:conditionalFormatting xmlns:xm="http://schemas.microsoft.com/office/excel/2006/main">
          <x14:cfRule type="containsText" priority="1071" operator="containsText" text="DB" id="{B9BE2868-90FD-4649-99ED-2D5AF48D4F21}">
            <xm:f>NOT(ISERROR(SEARCH("DB",'TC1'!#REF!)))</xm:f>
            <x14:dxf>
              <font>
                <color rgb="FF006100"/>
              </font>
              <fill>
                <patternFill>
                  <bgColor rgb="FFC6EFCE"/>
                </patternFill>
              </fill>
            </x14:dxf>
          </x14:cfRule>
          <x14:cfRule type="containsText" priority="1072" operator="containsText" text="WEB SERVICE" id="{ECEED375-DB38-4603-A227-F142F506865F}">
            <xm:f>NOT(ISERROR(SEARCH("WEB SERVICE",'TC1'!#REF!)))</xm:f>
            <x14:dxf>
              <font>
                <color rgb="FF9C0006"/>
              </font>
              <fill>
                <patternFill>
                  <bgColor rgb="FFFFC7CE"/>
                </patternFill>
              </fill>
            </x14:dxf>
          </x14:cfRule>
          <xm:sqref>E13:E25</xm:sqref>
        </x14:conditionalFormatting>
        <x14:conditionalFormatting xmlns:xm="http://schemas.microsoft.com/office/excel/2006/main">
          <x14:cfRule type="expression" priority="3705" id="{22B3B4D5-9A07-4E36-BCB4-9DFF4F413760}">
            <xm:f>'TC1'!$B10="HANGUP"</xm:f>
            <x14:dxf>
              <font>
                <b/>
                <i val="0"/>
              </font>
            </x14:dxf>
          </x14:cfRule>
          <x14:cfRule type="expression" priority="3706" id="{0CCA2B80-E0F0-409A-90EA-A5629DF3C1AF}">
            <xm:f>'TC1'!$B10="Dial"</xm:f>
            <x14:dxf>
              <font>
                <b/>
                <i val="0"/>
                <color rgb="FFFF0000"/>
              </font>
            </x14:dxf>
          </x14:cfRule>
          <xm:sqref>C9:C12</xm:sqref>
        </x14:conditionalFormatting>
        <x14:conditionalFormatting xmlns:xm="http://schemas.microsoft.com/office/excel/2006/main">
          <x14:cfRule type="expression" priority="3708" id="{83E76C91-B048-4E44-962E-99AF577E7136}">
            <xm:f>'TC1'!$B10="Speak"</xm:f>
            <x14:dxf>
              <font>
                <b/>
                <i val="0"/>
                <color rgb="FFFF0000"/>
              </font>
            </x14:dxf>
          </x14:cfRule>
          <xm:sqref>C9:C12</xm:sqref>
        </x14:conditionalFormatting>
        <x14:conditionalFormatting xmlns:xm="http://schemas.microsoft.com/office/excel/2006/main">
          <x14:cfRule type="expression" priority="4" id="{2207D872-1B60-418B-BFED-EEBBA1B920C4}">
            <xm:f>'\Users\deannah\Wyndham Testing\[Wyndham Destinations_TestCaseOverview_V3_Template.xlsx]TC1'!#REF!="HANGUP"</xm:f>
            <x14:dxf>
              <font>
                <b/>
                <i val="0"/>
              </font>
            </x14:dxf>
          </x14:cfRule>
          <x14:cfRule type="expression" priority="5" id="{CDFBA894-3782-4363-90AB-548515D97C28}">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6" id="{BF0BC06A-AC3B-44C4-BE29-B0F68462BBCA}">
            <xm:f>'\Users\deannah\Wyndham Testing\[Wyndham Destinations_TestCaseOverview_V3_Template.xlsx]TC1'!#REF!="Speak"</xm:f>
            <x14:dxf>
              <font>
                <b/>
                <i val="0"/>
                <color rgb="FFFF0000"/>
              </font>
            </x14:dxf>
          </x14:cfRule>
          <xm:sqref>C18</xm:sqref>
        </x14:conditionalFormatting>
        <x14:conditionalFormatting xmlns:xm="http://schemas.microsoft.com/office/excel/2006/main">
          <x14:cfRule type="expression" priority="1" id="{AEF86596-194D-4A6F-86B8-7B9F08B69E22}">
            <xm:f>'\Users\deannah\Wyndham Testing\[Wyndham Destinations_TestCaseOverview_V3_Template.xlsx]TC1'!#REF!="HANGUP"</xm:f>
            <x14:dxf>
              <font>
                <b/>
                <i val="0"/>
              </font>
            </x14:dxf>
          </x14:cfRule>
          <x14:cfRule type="expression" priority="2" id="{71B71839-23FC-4F58-B9ED-C076FC79308C}">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3" id="{664D436F-B913-466E-9B88-A9912514B1FB}">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5056" id="{22B3B4D5-9A07-4E36-BCB4-9DFF4F413760}">
            <xm:f>'TC1'!$B23="HANGUP"</xm:f>
            <x14:dxf>
              <font>
                <b/>
                <i val="0"/>
              </font>
            </x14:dxf>
          </x14:cfRule>
          <x14:cfRule type="expression" priority="5057" id="{0CCA2B80-E0F0-409A-90EA-A5629DF3C1AF}">
            <xm:f>'TC1'!$B23="Dial"</xm:f>
            <x14:dxf>
              <font>
                <b/>
                <i val="0"/>
                <color rgb="FFFF0000"/>
              </font>
            </x14:dxf>
          </x14:cfRule>
          <xm:sqref>C26</xm:sqref>
        </x14:conditionalFormatting>
        <x14:conditionalFormatting xmlns:xm="http://schemas.microsoft.com/office/excel/2006/main">
          <x14:cfRule type="expression" priority="5058" id="{83E76C91-B048-4E44-962E-99AF577E7136}">
            <xm:f>'TC1'!$B23="Speak"</xm:f>
            <x14:dxf>
              <font>
                <b/>
                <i val="0"/>
                <color rgb="FFFF0000"/>
              </font>
            </x14:dxf>
          </x14:cfRule>
          <xm:sqref>C26</xm:sqref>
        </x14:conditionalFormatting>
      </x14:conditionalFormatting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2"/>
  <dimension ref="A1:E35"/>
  <sheetViews>
    <sheetView zoomScaleNormal="100" workbookViewId="0">
      <selection activeCell="C8" sqref="C8"/>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TC40</v>
      </c>
    </row>
    <row r="3" spans="1:5">
      <c r="A3" s="100" t="s">
        <v>19</v>
      </c>
      <c r="B3" s="108">
        <f ca="1">VLOOKUP(B2,Table1[#All],2,FALSE)</f>
        <v>0</v>
      </c>
    </row>
    <row r="4" spans="1:5" ht="45">
      <c r="A4" s="109" t="s">
        <v>20</v>
      </c>
      <c r="B4" s="95" t="str">
        <f ca="1">VLOOKUP(B2,Table1[#All],4,FALSE)</f>
        <v>SvcArea =Collections, OFS05 returns success this may be Call Start - not sure which to get 0FS05 to return "success". Past Due &gt;x=Yes</v>
      </c>
    </row>
    <row r="5" spans="1:5">
      <c r="A5" s="100" t="s">
        <v>6</v>
      </c>
      <c r="B5" s="89" t="str">
        <f ca="1">VLOOKUP(B2,Table1[#All],3,FALSE)</f>
        <v>Coll Inbd/ /ID Auth/ID Auth True, Xfer</v>
      </c>
    </row>
    <row r="7" spans="1:5" ht="15.75">
      <c r="A7" s="96" t="s">
        <v>7</v>
      </c>
      <c r="B7" s="97" t="s">
        <v>8</v>
      </c>
      <c r="C7" s="98" t="s">
        <v>9</v>
      </c>
      <c r="D7" s="98" t="s">
        <v>14</v>
      </c>
      <c r="E7" s="99" t="s">
        <v>10</v>
      </c>
    </row>
    <row r="8" spans="1:5">
      <c r="A8" s="114">
        <v>1</v>
      </c>
      <c r="B8" s="110" t="s">
        <v>114</v>
      </c>
      <c r="C8" s="124" t="s">
        <v>475</v>
      </c>
      <c r="D8" s="125"/>
      <c r="E8" s="122" t="s">
        <v>11</v>
      </c>
    </row>
    <row r="9" spans="1:5">
      <c r="A9" s="114">
        <v>2</v>
      </c>
      <c r="B9" s="110" t="s">
        <v>115</v>
      </c>
      <c r="C9" s="105" t="str">
        <f>VLOOKUP(Table257552526910134344464748495657585963151817192245666768[[#This Row],[PEG]],Table1016[#All],2,FALSE)</f>
        <v>CallID.wav Call ID &lt;CallID&gt;</v>
      </c>
      <c r="D9" s="149" t="s">
        <v>477</v>
      </c>
      <c r="E9" s="122" t="str">
        <f>VLOOKUP(Table257552526910134344464748495657585963151817192245666768[[#This Row],[PEG]],Table1016[#All],3,FALSE)</f>
        <v>TEST</v>
      </c>
    </row>
    <row r="10" spans="1:5">
      <c r="A10" s="114">
        <v>3</v>
      </c>
      <c r="B10" s="110" t="s">
        <v>115</v>
      </c>
      <c r="C10" s="127" t="str">
        <f>VLOOKUP(Table257552526910134344464748495657585963151817192245666768[[#This Row],[PEG]],Table1016[#All],2,FALSE)</f>
        <v>0130.wav Thank you for calling &lt;brand&gt;... [To continue in Spanish, press 9]</v>
      </c>
      <c r="D10" s="149">
        <v>130</v>
      </c>
      <c r="E10" s="122" t="str">
        <f>VLOOKUP(Table257552526910134344464748495657585963151817192245666768[[#This Row],[PEG]],Table1016[#All],3,FALSE)</f>
        <v>PLAY PROMPT</v>
      </c>
    </row>
    <row r="11" spans="1:5">
      <c r="A11" s="114">
        <v>4</v>
      </c>
      <c r="B11" s="110" t="s">
        <v>115</v>
      </c>
      <c r="C11" s="105" t="str">
        <f>VLOOKUP(Table257552526910134344464748495657585963151817192245666768[[#This Row],[PEG]],Table1016[#All],2,FALSE)</f>
        <v>0200-1.wav To get started, what is your account number?</v>
      </c>
      <c r="D11" s="149">
        <v>200</v>
      </c>
      <c r="E11" s="122" t="str">
        <f>VLOOKUP(Table257552526910134344464748495657585963151817192245666768[[#This Row],[PEG]],Table1016[#All],3,FALSE)</f>
        <v>MENU PROMPT</v>
      </c>
    </row>
    <row r="12" spans="1:5">
      <c r="A12" s="114">
        <v>5</v>
      </c>
      <c r="B12" s="110" t="s">
        <v>114</v>
      </c>
      <c r="C12" s="151" t="s">
        <v>515</v>
      </c>
      <c r="D12" s="149"/>
      <c r="E12" s="122" t="e">
        <f>VLOOKUP(Table257552526910134344464748495657585963151817192245666768[[#This Row],[PEG]],Table1016[#All],3,FALSE)</f>
        <v>#N/A</v>
      </c>
    </row>
    <row r="13" spans="1:5">
      <c r="A13" s="114">
        <v>6</v>
      </c>
      <c r="B13" s="110" t="s">
        <v>115</v>
      </c>
      <c r="C13" s="105" t="str">
        <f>VLOOKUP(Table257552526910134344464748495657585963151817192245666768[[#This Row],[PEG]],Table1016[#All],2,FALSE)</f>
        <v>0210-1.wav And the date of birth for the primary owner?</v>
      </c>
      <c r="D13" s="149">
        <v>210</v>
      </c>
      <c r="E13" s="122" t="str">
        <f>VLOOKUP(Table257552526910134344464748495657585963151817192245666768[[#This Row],[PEG]],Table1016[#All],3,FALSE)</f>
        <v>MENU PROMPT</v>
      </c>
    </row>
    <row r="14" spans="1:5">
      <c r="A14" s="114">
        <v>7</v>
      </c>
      <c r="B14" s="110" t="s">
        <v>124</v>
      </c>
      <c r="C14" s="151" t="s">
        <v>524</v>
      </c>
      <c r="D14" s="149"/>
      <c r="E14" s="122" t="e">
        <f>VLOOKUP(Table257552526910134344464748495657585963151817192245666768[[#This Row],[PEG]],Table1016[#All],3,FALSE)</f>
        <v>#N/A</v>
      </c>
    </row>
    <row r="15" spans="1:5">
      <c r="A15" s="114">
        <v>8</v>
      </c>
      <c r="B15" s="110" t="s">
        <v>115</v>
      </c>
      <c r="C15" s="105" t="str">
        <f>VLOOKUP(Table257552526910134344464748495657585963151817192245666768[[#This Row],[PEG]],Table1016[#All],2,FALSE)</f>
        <v>0900.wav Please hold, while I connect you to a customer service representative.</v>
      </c>
      <c r="D15" s="112">
        <v>900</v>
      </c>
      <c r="E15" s="122" t="str">
        <f>VLOOKUP(Table257552526910134344464748495657585963151817192245666768[[#This Row],[PEG]],Table1016[#All],3,FALSE)</f>
        <v>PLAY PROMPT</v>
      </c>
    </row>
    <row r="16" spans="1:5">
      <c r="A16" s="114">
        <v>9</v>
      </c>
      <c r="B16" s="110" t="s">
        <v>12</v>
      </c>
      <c r="C16" s="105" t="str">
        <f>VLOOKUP(Table257552526910134344464748495657585963151817192245666768[[#This Row],[PEG]],Table1016[#All],2,FALSE)</f>
        <v>XferNbr.wav Transfer Number &lt;TransferNbr&gt;</v>
      </c>
      <c r="D16" s="112" t="s">
        <v>480</v>
      </c>
      <c r="E16" s="122" t="str">
        <f>VLOOKUP(Table257552526910134344464748495657585963151817192245666768[[#This Row],[PEG]],Table1016[#All],3,FALSE)</f>
        <v>TEST</v>
      </c>
    </row>
    <row r="17" spans="1:5">
      <c r="A17" s="114">
        <v>10</v>
      </c>
      <c r="B17" s="110" t="s">
        <v>13</v>
      </c>
      <c r="C17" s="17" t="s">
        <v>13</v>
      </c>
      <c r="D17" s="111"/>
      <c r="E17" s="31"/>
    </row>
    <row r="18" spans="1:5">
      <c r="C18" s="25"/>
      <c r="D18" s="107" t="s">
        <v>0</v>
      </c>
    </row>
    <row r="19" spans="1:5">
      <c r="C19" s="25"/>
    </row>
    <row r="20" spans="1:5">
      <c r="C20" s="25"/>
    </row>
    <row r="21" spans="1:5">
      <c r="C21" s="25"/>
    </row>
    <row r="22" spans="1:5">
      <c r="C22" s="25"/>
    </row>
    <row r="23" spans="1:5">
      <c r="C23" s="25"/>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6"/>
    </row>
    <row r="34" spans="3:3">
      <c r="C34" s="26"/>
    </row>
    <row r="35" spans="3:3">
      <c r="C35" s="26"/>
    </row>
  </sheetData>
  <mergeCells count="1">
    <mergeCell ref="A1:B1"/>
  </mergeCells>
  <conditionalFormatting sqref="B17">
    <cfRule type="containsText" dxfId="5436" priority="56" operator="containsText" text="Hear">
      <formula>NOT(ISERROR(SEARCH("Hear",B17)))</formula>
    </cfRule>
  </conditionalFormatting>
  <conditionalFormatting sqref="E17">
    <cfRule type="containsText" dxfId="5435" priority="54" operator="containsText" text="WEB SERVICE">
      <formula>NOT(ISERROR(SEARCH("WEB SERVICE",E17)))</formula>
    </cfRule>
    <cfRule type="containsText" dxfId="5434" priority="55" operator="containsText" text="DB">
      <formula>NOT(ISERROR(SEARCH("DB",E17)))</formula>
    </cfRule>
  </conditionalFormatting>
  <conditionalFormatting sqref="C17:C9974">
    <cfRule type="expression" dxfId="5433" priority="57">
      <formula>$B17="Dial"</formula>
    </cfRule>
    <cfRule type="expression" dxfId="5432" priority="59">
      <formula>$B17="HANGUP"</formula>
    </cfRule>
  </conditionalFormatting>
  <conditionalFormatting sqref="C17">
    <cfRule type="expression" dxfId="5431" priority="58">
      <formula>$B17="Speak"</formula>
    </cfRule>
  </conditionalFormatting>
  <conditionalFormatting sqref="B8:B16">
    <cfRule type="containsText" dxfId="5430" priority="9" operator="containsText" text="Hear">
      <formula>NOT(ISERROR(SEARCH("Hear",B8)))</formula>
    </cfRule>
  </conditionalFormatting>
  <conditionalFormatting sqref="C8">
    <cfRule type="expression" dxfId="5429" priority="7">
      <formula>$B8="Dial"</formula>
    </cfRule>
    <cfRule type="expression" dxfId="5428" priority="8">
      <formula>$B8="HANGUP"</formula>
    </cfRule>
  </conditionalFormatting>
  <hyperlinks>
    <hyperlink ref="A1" location="'Test Case Overview'!A1" display="Return to Test Case Overview" xr:uid="{00000000-0004-0000-28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53" id="{6464031D-27A8-4D16-9F25-52D21ABA6181}">
            <xm:f>'TC1'!$B10="HANGUP"</xm:f>
            <x14:dxf>
              <font>
                <b/>
                <i val="0"/>
              </font>
            </x14:dxf>
          </x14:cfRule>
          <x14:cfRule type="expression" priority="61" id="{1CBE41FC-0B6E-4B7C-8603-09C29E698007}">
            <xm:f>'TC1'!$B10="Dial"</xm:f>
            <x14:dxf>
              <font>
                <b/>
                <i val="0"/>
                <color rgb="FFFF0000"/>
              </font>
            </x14:dxf>
          </x14:cfRule>
          <xm:sqref>C9:C11</xm:sqref>
        </x14:conditionalFormatting>
        <x14:conditionalFormatting xmlns:xm="http://schemas.microsoft.com/office/excel/2006/main">
          <x14:cfRule type="expression" priority="62" id="{0C8F929A-C04C-43DC-B9E2-C49935BE7B13}">
            <xm:f>'TC1'!$B10="Speak"</xm:f>
            <x14:dxf>
              <font>
                <b/>
                <i val="0"/>
                <color rgb="FFFF0000"/>
              </font>
            </x14:dxf>
          </x14:cfRule>
          <xm:sqref>C9:C11</xm:sqref>
        </x14:conditionalFormatting>
        <x14:conditionalFormatting xmlns:xm="http://schemas.microsoft.com/office/excel/2006/main">
          <x14:cfRule type="containsText" priority="42" operator="containsText" text="DB" id="{D05B5896-ABA5-4E4E-A24C-009DA28F9FDD}">
            <xm:f>NOT(ISERROR(SEARCH("DB",'TC1'!E10)))</xm:f>
            <x14:dxf>
              <font>
                <color rgb="FF006100"/>
              </font>
              <fill>
                <patternFill>
                  <bgColor rgb="FFC6EFCE"/>
                </patternFill>
              </fill>
            </x14:dxf>
          </x14:cfRule>
          <x14:cfRule type="containsText" priority="63" operator="containsText" text="WEB SERVICE" id="{E70E7D4E-3457-4C24-A742-E422BA616EBD}">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078" id="{6464031D-27A8-4D16-9F25-52D21ABA6181}">
            <xm:f>'TC1'!#REF!="HANGUP"</xm:f>
            <x14:dxf>
              <font>
                <b/>
                <i val="0"/>
              </font>
            </x14:dxf>
          </x14:cfRule>
          <x14:cfRule type="expression" priority="1079" id="{1CBE41FC-0B6E-4B7C-8603-09C29E698007}">
            <xm:f>'TC1'!#REF!="Dial"</xm:f>
            <x14:dxf>
              <font>
                <b/>
                <i val="0"/>
                <color rgb="FFFF0000"/>
              </font>
            </x14:dxf>
          </x14:cfRule>
          <xm:sqref>C13 C15:C16</xm:sqref>
        </x14:conditionalFormatting>
        <x14:conditionalFormatting xmlns:xm="http://schemas.microsoft.com/office/excel/2006/main">
          <x14:cfRule type="expression" priority="1084" id="{0C8F929A-C04C-43DC-B9E2-C49935BE7B13}">
            <xm:f>'TC1'!#REF!="Speak"</xm:f>
            <x14:dxf>
              <font>
                <b/>
                <i val="0"/>
                <color rgb="FFFF0000"/>
              </font>
            </x14:dxf>
          </x14:cfRule>
          <xm:sqref>C13 C15:C16</xm:sqref>
        </x14:conditionalFormatting>
        <x14:conditionalFormatting xmlns:xm="http://schemas.microsoft.com/office/excel/2006/main">
          <x14:cfRule type="containsText" priority="1090" operator="containsText" text="DB" id="{D05B5896-ABA5-4E4E-A24C-009DA28F9FDD}">
            <xm:f>NOT(ISERROR(SEARCH("DB",'TC1'!#REF!)))</xm:f>
            <x14:dxf>
              <font>
                <color rgb="FF006100"/>
              </font>
              <fill>
                <patternFill>
                  <bgColor rgb="FFC6EFCE"/>
                </patternFill>
              </fill>
            </x14:dxf>
          </x14:cfRule>
          <x14:cfRule type="containsText" priority="1091" operator="containsText" text="WEB SERVICE" id="{E70E7D4E-3457-4C24-A742-E422BA616EBD}">
            <xm:f>NOT(ISERROR(SEARCH("WEB SERVICE",'TC1'!#REF!)))</xm:f>
            <x14:dxf>
              <font>
                <color rgb="FF9C0006"/>
              </font>
              <fill>
                <patternFill>
                  <bgColor rgb="FFFFC7CE"/>
                </patternFill>
              </fill>
            </x14:dxf>
          </x14:cfRule>
          <xm:sqref>E13:E16</xm:sqref>
        </x14:conditionalFormatting>
        <x14:conditionalFormatting xmlns:xm="http://schemas.microsoft.com/office/excel/2006/main">
          <x14:cfRule type="expression" priority="4" id="{E8AB06E8-AF6C-40F0-B7FB-EB7C006FA254}">
            <xm:f>'\Users\deannah\Wyndham Testing\[Wyndham Destinations_TestCaseOverview_V3_Template.xlsx]TC1'!#REF!="HANGUP"</xm:f>
            <x14:dxf>
              <font>
                <b/>
                <i val="0"/>
              </font>
            </x14:dxf>
          </x14:cfRule>
          <x14:cfRule type="expression" priority="5" id="{011DE927-C5CA-4DC5-87C7-FC36D6F6C74B}">
            <xm:f>'\Users\deannah\Wyndham Testing\[Wyndham Destinations_TestCaseOverview_V3_Template.xlsx]TC1'!#REF!="Dial"</xm:f>
            <x14:dxf>
              <font>
                <b/>
                <i val="0"/>
                <color rgb="FFFF0000"/>
              </font>
            </x14:dxf>
          </x14:cfRule>
          <xm:sqref>C12</xm:sqref>
        </x14:conditionalFormatting>
        <x14:conditionalFormatting xmlns:xm="http://schemas.microsoft.com/office/excel/2006/main">
          <x14:cfRule type="expression" priority="6" id="{2CF700B4-1943-4497-89B7-D6BC2D637812}">
            <xm:f>'\Users\deannah\Wyndham Testing\[Wyndham Destinations_TestCaseOverview_V3_Template.xlsx]TC1'!#REF!="Speak"</xm:f>
            <x14:dxf>
              <font>
                <b/>
                <i val="0"/>
                <color rgb="FFFF0000"/>
              </font>
            </x14:dxf>
          </x14:cfRule>
          <xm:sqref>C12</xm:sqref>
        </x14:conditionalFormatting>
        <x14:conditionalFormatting xmlns:xm="http://schemas.microsoft.com/office/excel/2006/main">
          <x14:cfRule type="expression" priority="1" id="{8B10E37D-81C5-4205-A455-06227B3A1421}">
            <xm:f>'\Users\deannah\Wyndham Testing\[Wyndham Destinations_TestCaseOverview_V3_Template.xlsx]TC1'!#REF!="HANGUP"</xm:f>
            <x14:dxf>
              <font>
                <b/>
                <i val="0"/>
              </font>
            </x14:dxf>
          </x14:cfRule>
          <x14:cfRule type="expression" priority="2" id="{DDBBCF3B-45F8-410A-81CE-B672DDACC265}">
            <xm:f>'\Users\deannah\Wyndham Testing\[Wyndham Destinations_TestCaseOverview_V3_Template.xlsx]TC1'!#REF!="Dial"</xm:f>
            <x14:dxf>
              <font>
                <b/>
                <i val="0"/>
                <color rgb="FFFF0000"/>
              </font>
            </x14:dxf>
          </x14:cfRule>
          <xm:sqref>C14</xm:sqref>
        </x14:conditionalFormatting>
        <x14:conditionalFormatting xmlns:xm="http://schemas.microsoft.com/office/excel/2006/main">
          <x14:cfRule type="expression" priority="3" id="{C1289265-DCED-40F4-A059-383CB26C2D43}">
            <xm:f>'\Users\deannah\Wyndham Testing\[Wyndham Destinations_TestCaseOverview_V3_Template.xlsx]TC1'!#REF!="Speak"</xm:f>
            <x14:dxf>
              <font>
                <b/>
                <i val="0"/>
                <color rgb="FFFF0000"/>
              </font>
            </x14:dxf>
          </x14:cfRule>
          <xm:sqref>C14</xm:sqref>
        </x14:conditionalFormatting>
      </x14:conditionalFormatting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3"/>
  <dimension ref="A1:E36"/>
  <sheetViews>
    <sheetView zoomScaleNormal="100" workbookViewId="0">
      <selection activeCell="D9" sqref="D9:D17"/>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TC41</v>
      </c>
    </row>
    <row r="3" spans="1:5">
      <c r="A3" s="100" t="s">
        <v>19</v>
      </c>
      <c r="B3" s="108">
        <f ca="1">VLOOKUP(B2,Table1[#All],2,FALSE)</f>
        <v>0</v>
      </c>
    </row>
    <row r="4" spans="1:5" ht="60">
      <c r="A4" s="109" t="s">
        <v>20</v>
      </c>
      <c r="B4" s="95" t="str">
        <f ca="1">VLOOKUP(B2,Table1[#All],4,FALSE)</f>
        <v>SvcArea =Collections, OFS05 returns success this may be Call Start - not sure which to get 0FS05 to return "success". Past Due=Yes DPD&gt;x=No, Says yes to mk pmt in full today.</v>
      </c>
    </row>
    <row r="5" spans="1:5" ht="30">
      <c r="A5" s="100" t="s">
        <v>6</v>
      </c>
      <c r="B5" s="89" t="str">
        <f ca="1">VLOOKUP(B2,Table1[#All],3,FALSE)</f>
        <v>Coll Inbd/ /ID Auth/ID Auth True, Say Yes to Make Pmt in full today. Xfer</v>
      </c>
    </row>
    <row r="7" spans="1:5" ht="15.75">
      <c r="A7" s="96" t="s">
        <v>7</v>
      </c>
      <c r="B7" s="97" t="s">
        <v>8</v>
      </c>
      <c r="C7" s="98" t="s">
        <v>9</v>
      </c>
      <c r="D7" s="98" t="s">
        <v>14</v>
      </c>
      <c r="E7" s="99" t="s">
        <v>10</v>
      </c>
    </row>
    <row r="8" spans="1:5">
      <c r="A8" s="114">
        <v>1</v>
      </c>
      <c r="B8" s="110" t="s">
        <v>114</v>
      </c>
      <c r="C8" s="124" t="s">
        <v>475</v>
      </c>
      <c r="D8" s="125"/>
      <c r="E8" s="122" t="s">
        <v>11</v>
      </c>
    </row>
    <row r="9" spans="1:5">
      <c r="A9" s="114">
        <v>2</v>
      </c>
      <c r="B9" s="110" t="s">
        <v>12</v>
      </c>
      <c r="C9" s="105" t="str">
        <f>VLOOKUP(Table25755252691013434446474849565758596315181719224566676869[[#This Row],[PEG]],Table1016[#All],2,FALSE)</f>
        <v>CallID.wav Call ID &lt;CallID&gt;</v>
      </c>
      <c r="D9" s="149" t="s">
        <v>477</v>
      </c>
      <c r="E9" s="122" t="str">
        <f>VLOOKUP(Table25755252691013434446474849565758596315181719224566676869[[#This Row],[PEG]],Table1016[#All],3,FALSE)</f>
        <v>TEST</v>
      </c>
    </row>
    <row r="10" spans="1:5">
      <c r="A10" s="114">
        <v>3</v>
      </c>
      <c r="B10" s="110" t="s">
        <v>115</v>
      </c>
      <c r="C10" s="105" t="str">
        <f>VLOOKUP(Table25755252691013434446474849565758596315181719224566676869[[#This Row],[PEG]],Table1016[#All],2,FALSE)</f>
        <v>0200-1.wav To get started, what is your account number?</v>
      </c>
      <c r="D10" s="149">
        <v>200</v>
      </c>
      <c r="E10" s="122" t="str">
        <f>VLOOKUP(Table25755252691013434446474849565758596315181719224566676869[[#This Row],[PEG]],Table1016[#All],3,FALSE)</f>
        <v>MENU PROMPT</v>
      </c>
    </row>
    <row r="11" spans="1:5">
      <c r="A11" s="114">
        <v>5</v>
      </c>
      <c r="B11" s="110" t="s">
        <v>114</v>
      </c>
      <c r="C11" s="151" t="s">
        <v>515</v>
      </c>
      <c r="D11" s="149"/>
      <c r="E11" s="122" t="e">
        <f>VLOOKUP(Table25755252691013434446474849565758596315181719224566676869[[#This Row],[PEG]],Table1016[#All],3,FALSE)</f>
        <v>#N/A</v>
      </c>
    </row>
    <row r="12" spans="1:5">
      <c r="A12" s="114">
        <v>6</v>
      </c>
      <c r="B12" s="110" t="s">
        <v>115</v>
      </c>
      <c r="C12" s="105" t="str">
        <f>VLOOKUP(Table25755252691013434446474849565758596315181719224566676869[[#This Row],[PEG]],Table1016[#All],2,FALSE)</f>
        <v>0210-1.wav And the date of birth for the primary owner?</v>
      </c>
      <c r="D12" s="43">
        <v>210</v>
      </c>
      <c r="E12" s="122" t="str">
        <f>VLOOKUP(Table25755252691013434446474849565758596315181719224566676869[[#This Row],[PEG]],Table1016[#All],3,FALSE)</f>
        <v>MENU PROMPT</v>
      </c>
    </row>
    <row r="13" spans="1:5">
      <c r="A13" s="114">
        <v>7</v>
      </c>
      <c r="B13" s="110" t="s">
        <v>124</v>
      </c>
      <c r="C13" s="151" t="s">
        <v>524</v>
      </c>
      <c r="D13" s="125"/>
      <c r="E13" s="122" t="e">
        <f>VLOOKUP(Table25755252691013434446474849565758596315181719224566676869[[#This Row],[PEG]],Table1016[#All],3,FALSE)</f>
        <v>#N/A</v>
      </c>
    </row>
    <row r="14" spans="1:5">
      <c r="A14" s="114">
        <v>8</v>
      </c>
      <c r="B14" s="110" t="s">
        <v>115</v>
      </c>
      <c r="C14" s="105" t="str">
        <f>VLOOKUP(Table25755252691013434446474849565758596315181719224566676869[[#This Row],[PEG]],Table1016[#All],2,FALSE)</f>
        <v>0500.wav You have a past due balance of [amount]. Would you like to make that payment in full today?</v>
      </c>
      <c r="D14" s="112">
        <v>500</v>
      </c>
      <c r="E14" s="122" t="str">
        <f>VLOOKUP(Table25755252691013434446474849565758596315181719224566676869[[#This Row],[PEG]],Table1016[#All],3,FALSE)</f>
        <v>MENU PROMPT</v>
      </c>
    </row>
    <row r="15" spans="1:5">
      <c r="A15" s="114">
        <v>9</v>
      </c>
      <c r="B15" s="110" t="s">
        <v>124</v>
      </c>
      <c r="C15" s="151" t="s">
        <v>582</v>
      </c>
      <c r="D15" s="112"/>
      <c r="E15" s="122" t="e">
        <f>VLOOKUP(Table25755252691013434446474849565758596315181719224566676869[[#This Row],[PEG]],Table1016[#All],3,FALSE)</f>
        <v>#N/A</v>
      </c>
    </row>
    <row r="16" spans="1:5">
      <c r="A16" s="114">
        <v>10</v>
      </c>
      <c r="B16" s="110" t="s">
        <v>115</v>
      </c>
      <c r="C16" s="105" t="str">
        <f>VLOOKUP(Table25755252691013434446474849565758596315181719224566676869[[#This Row],[PEG]],Table1016[#All],2,FALSE)</f>
        <v>0900.wav Please hold, while I connect you to a customer service representative.</v>
      </c>
      <c r="D16" s="113">
        <v>900</v>
      </c>
      <c r="E16" s="122" t="str">
        <f>VLOOKUP(Table25755252691013434446474849565758596315181719224566676869[[#This Row],[PEG]],Table1016[#All],3,FALSE)</f>
        <v>PLAY PROMPT</v>
      </c>
    </row>
    <row r="17" spans="1:5">
      <c r="A17" s="114">
        <v>11</v>
      </c>
      <c r="B17" s="110" t="s">
        <v>115</v>
      </c>
      <c r="C17" s="105" t="str">
        <f>VLOOKUP(Table25755252691013434446474849565758596315181719224566676869[[#This Row],[PEG]],Table1016[#All],2,FALSE)</f>
        <v>XferNbr.wav Transfer Number &lt;TransferNbr&gt;</v>
      </c>
      <c r="D17" s="113" t="s">
        <v>480</v>
      </c>
      <c r="E17" s="122" t="str">
        <f>VLOOKUP(Table25755252691013434446474849565758596315181719224566676869[[#This Row],[PEG]],Table1016[#All],3,FALSE)</f>
        <v>TEST</v>
      </c>
    </row>
    <row r="18" spans="1:5">
      <c r="A18" s="114">
        <v>12</v>
      </c>
      <c r="B18" s="110" t="s">
        <v>13</v>
      </c>
      <c r="C18" s="17" t="s">
        <v>13</v>
      </c>
      <c r="D18" s="111"/>
      <c r="E18" s="31"/>
    </row>
    <row r="19" spans="1:5">
      <c r="C19" s="25"/>
      <c r="D19" s="107" t="s">
        <v>0</v>
      </c>
    </row>
    <row r="20" spans="1:5">
      <c r="C20" s="25"/>
    </row>
    <row r="21" spans="1:5">
      <c r="C21" s="25"/>
    </row>
    <row r="22" spans="1:5">
      <c r="C22" s="25"/>
    </row>
    <row r="23" spans="1:5">
      <c r="C23" s="25"/>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6"/>
    </row>
    <row r="35" spans="3:3">
      <c r="C35" s="26"/>
    </row>
    <row r="36" spans="3:3">
      <c r="C36" s="26"/>
    </row>
  </sheetData>
  <mergeCells count="1">
    <mergeCell ref="A1:B1"/>
  </mergeCells>
  <conditionalFormatting sqref="B8:B18">
    <cfRule type="containsText" dxfId="5402" priority="48" operator="containsText" text="Hear">
      <formula>NOT(ISERROR(SEARCH("Hear",B8)))</formula>
    </cfRule>
  </conditionalFormatting>
  <conditionalFormatting sqref="E18">
    <cfRule type="containsText" dxfId="5401" priority="46" operator="containsText" text="WEB SERVICE">
      <formula>NOT(ISERROR(SEARCH("WEB SERVICE",E18)))</formula>
    </cfRule>
    <cfRule type="containsText" dxfId="5400" priority="47" operator="containsText" text="DB">
      <formula>NOT(ISERROR(SEARCH("DB",E18)))</formula>
    </cfRule>
  </conditionalFormatting>
  <conditionalFormatting sqref="C18:C9975">
    <cfRule type="expression" dxfId="5399" priority="49">
      <formula>$B18="Dial"</formula>
    </cfRule>
    <cfRule type="expression" dxfId="5398" priority="51">
      <formula>$B18="HANGUP"</formula>
    </cfRule>
  </conditionalFormatting>
  <conditionalFormatting sqref="C18">
    <cfRule type="expression" dxfId="5397" priority="50">
      <formula>$B18="Speak"</formula>
    </cfRule>
  </conditionalFormatting>
  <conditionalFormatting sqref="C8">
    <cfRule type="expression" dxfId="5396" priority="10">
      <formula>$B8="Dial"</formula>
    </cfRule>
    <cfRule type="expression" dxfId="5395" priority="11">
      <formula>$B8="HANGUP"</formula>
    </cfRule>
  </conditionalFormatting>
  <hyperlinks>
    <hyperlink ref="A1" location="'Test Case Overview'!A1" display="Return to Test Case Overview" xr:uid="{00000000-0004-0000-29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45" id="{AB3A02B8-7E86-455B-AD2C-D49AA7CC7F3F}">
            <xm:f>'TC1'!$B10="HANGUP"</xm:f>
            <x14:dxf>
              <font>
                <b/>
                <i val="0"/>
              </font>
            </x14:dxf>
          </x14:cfRule>
          <x14:cfRule type="expression" priority="53" id="{EE1124E6-CA69-4FFC-B699-61B7A42D5EE5}">
            <xm:f>'TC1'!$B10="Dial"</xm:f>
            <x14:dxf>
              <font>
                <b/>
                <i val="0"/>
                <color rgb="FFFF0000"/>
              </font>
            </x14:dxf>
          </x14:cfRule>
          <xm:sqref>C9:C10</xm:sqref>
        </x14:conditionalFormatting>
        <x14:conditionalFormatting xmlns:xm="http://schemas.microsoft.com/office/excel/2006/main">
          <x14:cfRule type="expression" priority="54" id="{26B75B24-BEC1-4762-B8F5-A895AB1338EE}">
            <xm:f>'TC1'!$B10="Speak"</xm:f>
            <x14:dxf>
              <font>
                <b/>
                <i val="0"/>
                <color rgb="FFFF0000"/>
              </font>
            </x14:dxf>
          </x14:cfRule>
          <xm:sqref>C9:C10</xm:sqref>
        </x14:conditionalFormatting>
        <x14:conditionalFormatting xmlns:xm="http://schemas.microsoft.com/office/excel/2006/main">
          <x14:cfRule type="containsText" priority="34" operator="containsText" text="DB" id="{976FCC1F-8148-480C-B677-478C1054B37B}">
            <xm:f>NOT(ISERROR(SEARCH("DB",'TC1'!E10)))</xm:f>
            <x14:dxf>
              <font>
                <color rgb="FF006100"/>
              </font>
              <fill>
                <patternFill>
                  <bgColor rgb="FFC6EFCE"/>
                </patternFill>
              </fill>
            </x14:dxf>
          </x14:cfRule>
          <x14:cfRule type="containsText" priority="55" operator="containsText" text="WEB SERVICE" id="{1DEBF116-54D4-4E9B-B92B-B6B1F52A1B97}">
            <xm:f>NOT(ISERROR(SEARCH("WEB SERVICE",'TC1'!E10)))</xm:f>
            <x14:dxf>
              <font>
                <color rgb="FF9C0006"/>
              </font>
              <fill>
                <patternFill>
                  <bgColor rgb="FFFFC7CE"/>
                </patternFill>
              </fill>
            </x14:dxf>
          </x14:cfRule>
          <xm:sqref>E9:E10</xm:sqref>
        </x14:conditionalFormatting>
        <x14:conditionalFormatting xmlns:xm="http://schemas.microsoft.com/office/excel/2006/main">
          <x14:cfRule type="expression" priority="1101" id="{AB3A02B8-7E86-455B-AD2C-D49AA7CC7F3F}">
            <xm:f>'TC1'!#REF!="HANGUP"</xm:f>
            <x14:dxf>
              <font>
                <b/>
                <i val="0"/>
              </font>
            </x14:dxf>
          </x14:cfRule>
          <x14:cfRule type="expression" priority="1102" id="{EE1124E6-CA69-4FFC-B699-61B7A42D5EE5}">
            <xm:f>'TC1'!#REF!="Dial"</xm:f>
            <x14:dxf>
              <font>
                <b/>
                <i val="0"/>
                <color rgb="FFFF0000"/>
              </font>
            </x14:dxf>
          </x14:cfRule>
          <xm:sqref>C12 C14:C17</xm:sqref>
        </x14:conditionalFormatting>
        <x14:conditionalFormatting xmlns:xm="http://schemas.microsoft.com/office/excel/2006/main">
          <x14:cfRule type="expression" priority="1107" id="{26B75B24-BEC1-4762-B8F5-A895AB1338EE}">
            <xm:f>'TC1'!#REF!="Speak"</xm:f>
            <x14:dxf>
              <font>
                <b/>
                <i val="0"/>
                <color rgb="FFFF0000"/>
              </font>
            </x14:dxf>
          </x14:cfRule>
          <xm:sqref>C12 C14:C17</xm:sqref>
        </x14:conditionalFormatting>
        <x14:conditionalFormatting xmlns:xm="http://schemas.microsoft.com/office/excel/2006/main">
          <x14:cfRule type="containsText" priority="1113" operator="containsText" text="DB" id="{976FCC1F-8148-480C-B677-478C1054B37B}">
            <xm:f>NOT(ISERROR(SEARCH("DB",'TC1'!#REF!)))</xm:f>
            <x14:dxf>
              <font>
                <color rgb="FF006100"/>
              </font>
              <fill>
                <patternFill>
                  <bgColor rgb="FFC6EFCE"/>
                </patternFill>
              </fill>
            </x14:dxf>
          </x14:cfRule>
          <x14:cfRule type="containsText" priority="1114" operator="containsText" text="WEB SERVICE" id="{1DEBF116-54D4-4E9B-B92B-B6B1F52A1B97}">
            <xm:f>NOT(ISERROR(SEARCH("WEB SERVICE",'TC1'!#REF!)))</xm:f>
            <x14:dxf>
              <font>
                <color rgb="FF9C0006"/>
              </font>
              <fill>
                <patternFill>
                  <bgColor rgb="FFFFC7CE"/>
                </patternFill>
              </fill>
            </x14:dxf>
          </x14:cfRule>
          <xm:sqref>E12:E17</xm:sqref>
        </x14:conditionalFormatting>
        <x14:conditionalFormatting xmlns:xm="http://schemas.microsoft.com/office/excel/2006/main">
          <x14:cfRule type="containsText" priority="5266" operator="containsText" text="DB" id="{976FCC1F-8148-480C-B677-478C1054B37B}">
            <xm:f>NOT(ISERROR(SEARCH("DB",'TC1'!E13)))</xm:f>
            <x14:dxf>
              <font>
                <color rgb="FF006100"/>
              </font>
              <fill>
                <patternFill>
                  <bgColor rgb="FFC6EFCE"/>
                </patternFill>
              </fill>
            </x14:dxf>
          </x14:cfRule>
          <x14:cfRule type="containsText" priority="5267" operator="containsText" text="WEB SERVICE" id="{1DEBF116-54D4-4E9B-B92B-B6B1F52A1B97}">
            <xm:f>NOT(ISERROR(SEARCH("WEB SERVICE",'TC1'!E13)))</xm:f>
            <x14:dxf>
              <font>
                <color rgb="FF9C0006"/>
              </font>
              <fill>
                <patternFill>
                  <bgColor rgb="FFFFC7CE"/>
                </patternFill>
              </fill>
            </x14:dxf>
          </x14:cfRule>
          <xm:sqref>E11</xm:sqref>
        </x14:conditionalFormatting>
        <x14:conditionalFormatting xmlns:xm="http://schemas.microsoft.com/office/excel/2006/main">
          <x14:cfRule type="expression" priority="7" id="{367B57EF-A762-419A-8294-5FBB622A6F6F}">
            <xm:f>'\Users\deannah\Wyndham Testing\[Wyndham Destinations_TestCaseOverview_V3_Template.xlsx]TC1'!#REF!="HANGUP"</xm:f>
            <x14:dxf>
              <font>
                <b/>
                <i val="0"/>
              </font>
            </x14:dxf>
          </x14:cfRule>
          <x14:cfRule type="expression" priority="8" id="{A780944F-F9AA-4C30-B15D-A91103FB153E}">
            <xm:f>'\Users\deannah\Wyndham Testing\[Wyndham Destinations_TestCaseOverview_V3_Template.xlsx]TC1'!#REF!="Dial"</xm:f>
            <x14:dxf>
              <font>
                <b/>
                <i val="0"/>
                <color rgb="FFFF0000"/>
              </font>
            </x14:dxf>
          </x14:cfRule>
          <xm:sqref>C11</xm:sqref>
        </x14:conditionalFormatting>
        <x14:conditionalFormatting xmlns:xm="http://schemas.microsoft.com/office/excel/2006/main">
          <x14:cfRule type="expression" priority="9" id="{905153FF-70CC-43C0-B4F5-9963B0868154}">
            <xm:f>'\Users\deannah\Wyndham Testing\[Wyndham Destinations_TestCaseOverview_V3_Template.xlsx]TC1'!#REF!="Speak"</xm:f>
            <x14:dxf>
              <font>
                <b/>
                <i val="0"/>
                <color rgb="FFFF0000"/>
              </font>
            </x14:dxf>
          </x14:cfRule>
          <xm:sqref>C11</xm:sqref>
        </x14:conditionalFormatting>
        <x14:conditionalFormatting xmlns:xm="http://schemas.microsoft.com/office/excel/2006/main">
          <x14:cfRule type="expression" priority="4" id="{9F4A9423-2776-4B21-8401-099C6248A142}">
            <xm:f>'\Users\deannah\Wyndham Testing\[Wyndham Destinations_TestCaseOverview_V3_Template.xlsx]TC1'!#REF!="HANGUP"</xm:f>
            <x14:dxf>
              <font>
                <b/>
                <i val="0"/>
              </font>
            </x14:dxf>
          </x14:cfRule>
          <x14:cfRule type="expression" priority="5" id="{845ED8E8-55A4-44AE-87F1-6019E7C00758}">
            <xm:f>'\Users\deannah\Wyndham Testing\[Wyndham Destinations_TestCaseOverview_V3_Template.xlsx]TC1'!#REF!="Dial"</xm:f>
            <x14:dxf>
              <font>
                <b/>
                <i val="0"/>
                <color rgb="FFFF0000"/>
              </font>
            </x14:dxf>
          </x14:cfRule>
          <xm:sqref>D12</xm:sqref>
        </x14:conditionalFormatting>
        <x14:conditionalFormatting xmlns:xm="http://schemas.microsoft.com/office/excel/2006/main">
          <x14:cfRule type="expression" priority="6" id="{4748ED36-070F-4C37-BB7E-3D6C93F290CF}">
            <xm:f>'\Users\deannah\Wyndham Testing\[Wyndham Destinations_TestCaseOverview_V3_Template.xlsx]TC1'!#REF!="Speak"</xm:f>
            <x14:dxf>
              <font>
                <b/>
                <i val="0"/>
                <color rgb="FFFF0000"/>
              </font>
            </x14:dxf>
          </x14:cfRule>
          <xm:sqref>D12</xm:sqref>
        </x14:conditionalFormatting>
        <x14:conditionalFormatting xmlns:xm="http://schemas.microsoft.com/office/excel/2006/main">
          <x14:cfRule type="expression" priority="1" id="{3BE359AD-FE7C-4FFB-84A3-EC415CB9D7BC}">
            <xm:f>'\Users\deannah\Wyndham Testing\[Wyndham Destinations_TestCaseOverview_V3_Template.xlsx]TC1'!#REF!="HANGUP"</xm:f>
            <x14:dxf>
              <font>
                <b/>
                <i val="0"/>
              </font>
            </x14:dxf>
          </x14:cfRule>
          <x14:cfRule type="expression" priority="2" id="{98E21577-1CCF-4279-8F64-6CB51097028E}">
            <xm:f>'\Users\deannah\Wyndham Testing\[Wyndham Destinations_TestCaseOverview_V3_Template.xlsx]TC1'!#REF!="Dial"</xm:f>
            <x14:dxf>
              <font>
                <b/>
                <i val="0"/>
                <color rgb="FFFF0000"/>
              </font>
            </x14:dxf>
          </x14:cfRule>
          <xm:sqref>C13</xm:sqref>
        </x14:conditionalFormatting>
        <x14:conditionalFormatting xmlns:xm="http://schemas.microsoft.com/office/excel/2006/main">
          <x14:cfRule type="expression" priority="3" id="{34C380FD-DDFF-4F4B-AD97-3A4141394D02}">
            <xm:f>'\Users\deannah\Wyndham Testing\[Wyndham Destinations_TestCaseOverview_V3_Template.xlsx]TC1'!#REF!="Speak"</xm:f>
            <x14:dxf>
              <font>
                <b/>
                <i val="0"/>
                <color rgb="FFFF0000"/>
              </font>
            </x14:dxf>
          </x14:cfRule>
          <xm:sqref>C13</xm:sqref>
        </x14:conditionalFormatting>
      </x14:conditionalFormatting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4"/>
  <dimension ref="A1:E36"/>
  <sheetViews>
    <sheetView zoomScaleNormal="100" workbookViewId="0">
      <selection activeCell="B23" sqref="B23"/>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TC42</v>
      </c>
    </row>
    <row r="3" spans="1:5">
      <c r="A3" s="100" t="s">
        <v>19</v>
      </c>
      <c r="B3" s="108">
        <f ca="1">VLOOKUP(B2,Table1[#All],2,FALSE)</f>
        <v>0</v>
      </c>
    </row>
    <row r="4" spans="1:5" ht="60">
      <c r="A4" s="109" t="s">
        <v>20</v>
      </c>
      <c r="B4" s="95" t="str">
        <f ca="1">VLOOKUP(B2,Table1[#All],4,FALSE)</f>
        <v>SvcArea =Collections, OFS05 returns success this may be Call Start - not sure which to get 0FS05 to return "success". Past Due=Yes DPD&gt;x=No, Says NO to mk pmt in full today.</v>
      </c>
    </row>
    <row r="5" spans="1:5" ht="30">
      <c r="A5" s="100" t="s">
        <v>6</v>
      </c>
      <c r="B5" s="89" t="str">
        <f ca="1">VLOOKUP(B2,Table1[#All],3,FALSE)</f>
        <v>Coll Inbd/ /ID Auth/ID Auth True, Say NO to Make Pmt in full today. Xfer</v>
      </c>
    </row>
    <row r="7" spans="1:5" ht="15.75">
      <c r="A7" s="96" t="s">
        <v>7</v>
      </c>
      <c r="B7" s="97" t="s">
        <v>8</v>
      </c>
      <c r="C7" s="98" t="s">
        <v>9</v>
      </c>
      <c r="D7" s="98" t="s">
        <v>14</v>
      </c>
      <c r="E7" s="99" t="s">
        <v>10</v>
      </c>
    </row>
    <row r="8" spans="1:5">
      <c r="A8" s="114">
        <v>1</v>
      </c>
      <c r="B8" s="110" t="s">
        <v>114</v>
      </c>
      <c r="C8" s="124" t="s">
        <v>475</v>
      </c>
      <c r="D8" s="125"/>
      <c r="E8" s="122" t="s">
        <v>11</v>
      </c>
    </row>
    <row r="9" spans="1:5">
      <c r="A9" s="114">
        <v>2</v>
      </c>
      <c r="B9" s="110" t="s">
        <v>12</v>
      </c>
      <c r="C9" s="105" t="str">
        <f>VLOOKUP(Table257552526910134344464748495657585963151817192245666771[[#This Row],[PEG]],Table1016[#All],2,FALSE)</f>
        <v>CallID.wav Call ID &lt;CallID&gt;</v>
      </c>
      <c r="D9" s="149" t="s">
        <v>477</v>
      </c>
      <c r="E9" s="122" t="str">
        <f>VLOOKUP(Table257552526910134344464748495657585963151817192245666771[[#This Row],[PEG]],Table1016[#All],3,FALSE)</f>
        <v>TEST</v>
      </c>
    </row>
    <row r="10" spans="1:5">
      <c r="A10" s="114">
        <v>3</v>
      </c>
      <c r="B10" s="110" t="s">
        <v>115</v>
      </c>
      <c r="C10" s="105" t="str">
        <f>VLOOKUP(Table257552526910134344464748495657585963151817192245666771[[#This Row],[PEG]],Table1016[#All],2,FALSE)</f>
        <v>0200-1.wav To get started, what is your account number?</v>
      </c>
      <c r="D10" s="149">
        <v>200</v>
      </c>
      <c r="E10" s="122" t="str">
        <f>VLOOKUP(Table257552526910134344464748495657585963151817192245666771[[#This Row],[PEG]],Table1016[#All],3,FALSE)</f>
        <v>MENU PROMPT</v>
      </c>
    </row>
    <row r="11" spans="1:5">
      <c r="A11" s="114">
        <v>4</v>
      </c>
      <c r="B11" s="110" t="s">
        <v>114</v>
      </c>
      <c r="C11" s="151" t="s">
        <v>515</v>
      </c>
      <c r="D11" s="149"/>
      <c r="E11" s="122" t="e">
        <f>VLOOKUP(Table257552526910134344464748495657585963151817192245666771[[#This Row],[PEG]],Table1016[#All],3,FALSE)</f>
        <v>#N/A</v>
      </c>
    </row>
    <row r="12" spans="1:5">
      <c r="A12" s="114">
        <v>5</v>
      </c>
      <c r="B12" s="110" t="s">
        <v>115</v>
      </c>
      <c r="C12" s="105" t="str">
        <f>VLOOKUP(Table257552526910134344464748495657585963151817192245666771[[#This Row],[PEG]],Table1016[#All],2,FALSE)</f>
        <v>0210-1.wav And the date of birth for the primary owner?</v>
      </c>
      <c r="D12" s="43">
        <v>210</v>
      </c>
      <c r="E12" s="122" t="str">
        <f>VLOOKUP(Table257552526910134344464748495657585963151817192245666771[[#This Row],[PEG]],Table1016[#All],3,FALSE)</f>
        <v>MENU PROMPT</v>
      </c>
    </row>
    <row r="13" spans="1:5">
      <c r="A13" s="114">
        <v>6</v>
      </c>
      <c r="B13" s="110" t="s">
        <v>124</v>
      </c>
      <c r="C13" s="151" t="s">
        <v>524</v>
      </c>
      <c r="D13" s="125"/>
      <c r="E13" s="122" t="e">
        <f>VLOOKUP(Table257552526910134344464748495657585963151817192245666771[[#This Row],[PEG]],Table1016[#All],3,FALSE)</f>
        <v>#N/A</v>
      </c>
    </row>
    <row r="14" spans="1:5">
      <c r="A14" s="114">
        <v>7</v>
      </c>
      <c r="B14" s="110" t="s">
        <v>115</v>
      </c>
      <c r="C14" s="105" t="str">
        <f>VLOOKUP(Table257552526910134344464748495657585963151817192245666771[[#This Row],[PEG]],Table1016[#All],2,FALSE)</f>
        <v>0500.wav You have a past due balance of [amount]. Would you like to make that payment in full today?</v>
      </c>
      <c r="D14" s="112">
        <v>500</v>
      </c>
      <c r="E14" s="122" t="str">
        <f>VLOOKUP(Table257552526910134344464748495657585963151817192245666771[[#This Row],[PEG]],Table1016[#All],3,FALSE)</f>
        <v>MENU PROMPT</v>
      </c>
    </row>
    <row r="15" spans="1:5">
      <c r="A15" s="114">
        <v>8</v>
      </c>
      <c r="B15" s="110" t="s">
        <v>124</v>
      </c>
      <c r="C15" s="151" t="s">
        <v>584</v>
      </c>
      <c r="D15" s="112"/>
      <c r="E15" s="122" t="e">
        <f>VLOOKUP(Table257552526910134344464748495657585963151817192245666771[[#This Row],[PEG]],Table1016[#All],3,FALSE)</f>
        <v>#N/A</v>
      </c>
    </row>
    <row r="16" spans="1:5">
      <c r="A16" s="114">
        <v>9</v>
      </c>
      <c r="B16" s="110" t="s">
        <v>115</v>
      </c>
      <c r="C16" s="105" t="str">
        <f>VLOOKUP(Table257552526910134344464748495657585963151817192245666771[[#This Row],[PEG]],Table1016[#All],2,FALSE)</f>
        <v>0900.wav Please hold, while I connect you to a customer service representative.</v>
      </c>
      <c r="D16" s="113">
        <v>900</v>
      </c>
      <c r="E16" s="122" t="str">
        <f>VLOOKUP(Table257552526910134344464748495657585963151817192245666771[[#This Row],[PEG]],Table1016[#All],3,FALSE)</f>
        <v>PLAY PROMPT</v>
      </c>
    </row>
    <row r="17" spans="1:5">
      <c r="A17" s="114">
        <v>10</v>
      </c>
      <c r="B17" s="110" t="s">
        <v>115</v>
      </c>
      <c r="C17" s="105" t="str">
        <f>VLOOKUP(Table257552526910134344464748495657585963151817192245666771[[#This Row],[PEG]],Table1016[#All],2,FALSE)</f>
        <v>XferNbr.wav Transfer Number &lt;TransferNbr&gt;</v>
      </c>
      <c r="D17" s="113" t="s">
        <v>480</v>
      </c>
      <c r="E17" s="122" t="str">
        <f>VLOOKUP(Table257552526910134344464748495657585963151817192245666771[[#This Row],[PEG]],Table1016[#All],3,FALSE)</f>
        <v>TEST</v>
      </c>
    </row>
    <row r="18" spans="1:5">
      <c r="A18" s="114">
        <v>11</v>
      </c>
      <c r="B18" s="110" t="s">
        <v>13</v>
      </c>
      <c r="C18" s="17" t="s">
        <v>13</v>
      </c>
      <c r="D18" s="111"/>
      <c r="E18" s="31"/>
    </row>
    <row r="19" spans="1:5">
      <c r="C19" s="25"/>
      <c r="D19" s="107" t="s">
        <v>0</v>
      </c>
    </row>
    <row r="20" spans="1:5">
      <c r="C20" s="25"/>
    </row>
    <row r="21" spans="1:5">
      <c r="C21" s="25"/>
    </row>
    <row r="22" spans="1:5">
      <c r="C22" s="25"/>
    </row>
    <row r="23" spans="1:5">
      <c r="C23" s="25"/>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6"/>
    </row>
    <row r="35" spans="3:3">
      <c r="C35" s="26"/>
    </row>
    <row r="36" spans="3:3">
      <c r="C36" s="26"/>
    </row>
  </sheetData>
  <mergeCells count="1">
    <mergeCell ref="A1:B1"/>
  </mergeCells>
  <conditionalFormatting sqref="B18">
    <cfRule type="containsText" dxfId="5364" priority="34" operator="containsText" text="Hear">
      <formula>NOT(ISERROR(SEARCH("Hear",B18)))</formula>
    </cfRule>
  </conditionalFormatting>
  <conditionalFormatting sqref="E18">
    <cfRule type="containsText" dxfId="5363" priority="32" operator="containsText" text="WEB SERVICE">
      <formula>NOT(ISERROR(SEARCH("WEB SERVICE",E18)))</formula>
    </cfRule>
    <cfRule type="containsText" dxfId="5362" priority="33" operator="containsText" text="DB">
      <formula>NOT(ISERROR(SEARCH("DB",E18)))</formula>
    </cfRule>
  </conditionalFormatting>
  <conditionalFormatting sqref="C18:C9975">
    <cfRule type="expression" dxfId="5361" priority="35">
      <formula>$B18="Dial"</formula>
    </cfRule>
    <cfRule type="expression" dxfId="5360" priority="37">
      <formula>$B18="HANGUP"</formula>
    </cfRule>
  </conditionalFormatting>
  <conditionalFormatting sqref="C18">
    <cfRule type="expression" dxfId="5359" priority="36">
      <formula>$B18="Speak"</formula>
    </cfRule>
  </conditionalFormatting>
  <conditionalFormatting sqref="B8">
    <cfRule type="containsText" dxfId="5358" priority="13" operator="containsText" text="Hear">
      <formula>NOT(ISERROR(SEARCH("Hear",B8)))</formula>
    </cfRule>
  </conditionalFormatting>
  <conditionalFormatting sqref="C8">
    <cfRule type="expression" dxfId="5357" priority="11">
      <formula>$B8="Dial"</formula>
    </cfRule>
    <cfRule type="expression" dxfId="5356" priority="12">
      <formula>$B8="HANGUP"</formula>
    </cfRule>
  </conditionalFormatting>
  <conditionalFormatting sqref="B9:B17">
    <cfRule type="containsText" dxfId="5355" priority="10" operator="containsText" text="Hear">
      <formula>NOT(ISERROR(SEARCH("Hear",B9)))</formula>
    </cfRule>
  </conditionalFormatting>
  <hyperlinks>
    <hyperlink ref="A1" location="'Test Case Overview'!A1" display="Return to Test Case Overview" xr:uid="{00000000-0004-0000-2A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39" id="{8310FDFF-20EB-4C87-A90E-83D3847BAF83}">
            <xm:f>'TC1'!$B10="HANGUP"</xm:f>
            <x14:dxf>
              <font>
                <b/>
                <i val="0"/>
              </font>
            </x14:dxf>
          </x14:cfRule>
          <x14:cfRule type="expression" priority="39" id="{D875013C-39AB-4902-B3CC-CC9764DF7DC0}">
            <xm:f>'TC1'!$B10="Dial"</xm:f>
            <x14:dxf>
              <font>
                <b/>
                <i val="0"/>
                <color rgb="FFFF0000"/>
              </font>
            </x14:dxf>
          </x14:cfRule>
          <xm:sqref>C9:C10 C12</xm:sqref>
        </x14:conditionalFormatting>
        <x14:conditionalFormatting xmlns:xm="http://schemas.microsoft.com/office/excel/2006/main">
          <x14:cfRule type="expression" priority="40" id="{66064696-BBB4-45C4-BB56-B50563585CB3}">
            <xm:f>'TC1'!$B10="Speak"</xm:f>
            <x14:dxf>
              <font>
                <b/>
                <i val="0"/>
                <color rgb="FFFF0000"/>
              </font>
            </x14:dxf>
          </x14:cfRule>
          <xm:sqref>C9:C10 C12</xm:sqref>
        </x14:conditionalFormatting>
        <x14:conditionalFormatting xmlns:xm="http://schemas.microsoft.com/office/excel/2006/main">
          <x14:cfRule type="containsText" priority="41" operator="containsText" text="DB" id="{265AF762-C359-48BC-96ED-C0F75C9330A9}">
            <xm:f>NOT(ISERROR(SEARCH("DB",'TC1'!E10)))</xm:f>
            <x14:dxf>
              <font>
                <color rgb="FF006100"/>
              </font>
              <fill>
                <patternFill>
                  <bgColor rgb="FFC6EFCE"/>
                </patternFill>
              </fill>
            </x14:dxf>
          </x14:cfRule>
          <x14:cfRule type="containsText" priority="41" operator="containsText" text="WEB SERVICE" id="{0FC49F0D-8871-4ACA-A01C-ADD609D12F10}">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122" id="{8310FDFF-20EB-4C87-A90E-83D3847BAF83}">
            <xm:f>'TC1'!#REF!="HANGUP"</xm:f>
            <x14:dxf>
              <font>
                <b/>
                <i val="0"/>
              </font>
            </x14:dxf>
          </x14:cfRule>
          <x14:cfRule type="expression" priority="1123" id="{D875013C-39AB-4902-B3CC-CC9764DF7DC0}">
            <xm:f>'TC1'!#REF!="Dial"</xm:f>
            <x14:dxf>
              <font>
                <b/>
                <i val="0"/>
                <color rgb="FFFF0000"/>
              </font>
            </x14:dxf>
          </x14:cfRule>
          <xm:sqref>C14:C17</xm:sqref>
        </x14:conditionalFormatting>
        <x14:conditionalFormatting xmlns:xm="http://schemas.microsoft.com/office/excel/2006/main">
          <x14:cfRule type="expression" priority="1128" id="{66064696-BBB4-45C4-BB56-B50563585CB3}">
            <xm:f>'TC1'!#REF!="Speak"</xm:f>
            <x14:dxf>
              <font>
                <b/>
                <i val="0"/>
                <color rgb="FFFF0000"/>
              </font>
            </x14:dxf>
          </x14:cfRule>
          <xm:sqref>C14:C17</xm:sqref>
        </x14:conditionalFormatting>
        <x14:conditionalFormatting xmlns:xm="http://schemas.microsoft.com/office/excel/2006/main">
          <x14:cfRule type="containsText" priority="1134" operator="containsText" text="DB" id="{265AF762-C359-48BC-96ED-C0F75C9330A9}">
            <xm:f>NOT(ISERROR(SEARCH("DB",'TC1'!#REF!)))</xm:f>
            <x14:dxf>
              <font>
                <color rgb="FF006100"/>
              </font>
              <fill>
                <patternFill>
                  <bgColor rgb="FFC6EFCE"/>
                </patternFill>
              </fill>
            </x14:dxf>
          </x14:cfRule>
          <x14:cfRule type="containsText" priority="1135" operator="containsText" text="WEB SERVICE" id="{0FC49F0D-8871-4ACA-A01C-ADD609D12F10}">
            <xm:f>NOT(ISERROR(SEARCH("WEB SERVICE",'TC1'!#REF!)))</xm:f>
            <x14:dxf>
              <font>
                <color rgb="FF9C0006"/>
              </font>
              <fill>
                <patternFill>
                  <bgColor rgb="FFFFC7CE"/>
                </patternFill>
              </fill>
            </x14:dxf>
          </x14:cfRule>
          <xm:sqref>E13:E17</xm:sqref>
        </x14:conditionalFormatting>
        <x14:conditionalFormatting xmlns:xm="http://schemas.microsoft.com/office/excel/2006/main">
          <x14:cfRule type="expression" priority="7" id="{4E9DE5BB-F91E-4F23-A48A-3ABE7BB65921}">
            <xm:f>'\Users\deannah\Wyndham Testing\[Wyndham Destinations_TestCaseOverview_V3_Template.xlsx]TC1'!#REF!="HANGUP"</xm:f>
            <x14:dxf>
              <font>
                <b/>
                <i val="0"/>
              </font>
            </x14:dxf>
          </x14:cfRule>
          <x14:cfRule type="expression" priority="8" id="{2AAFEB65-DA0B-43FB-93AB-84F68C824381}">
            <xm:f>'\Users\deannah\Wyndham Testing\[Wyndham Destinations_TestCaseOverview_V3_Template.xlsx]TC1'!#REF!="Dial"</xm:f>
            <x14:dxf>
              <font>
                <b/>
                <i val="0"/>
                <color rgb="FFFF0000"/>
              </font>
            </x14:dxf>
          </x14:cfRule>
          <xm:sqref>D12</xm:sqref>
        </x14:conditionalFormatting>
        <x14:conditionalFormatting xmlns:xm="http://schemas.microsoft.com/office/excel/2006/main">
          <x14:cfRule type="expression" priority="9" id="{FED21F70-646F-4AE2-B2DB-A974B03272D0}">
            <xm:f>'\Users\deannah\Wyndham Testing\[Wyndham Destinations_TestCaseOverview_V3_Template.xlsx]TC1'!#REF!="Speak"</xm:f>
            <x14:dxf>
              <font>
                <b/>
                <i val="0"/>
                <color rgb="FFFF0000"/>
              </font>
            </x14:dxf>
          </x14:cfRule>
          <xm:sqref>D12</xm:sqref>
        </x14:conditionalFormatting>
        <x14:conditionalFormatting xmlns:xm="http://schemas.microsoft.com/office/excel/2006/main">
          <x14:cfRule type="expression" priority="4" id="{3A5FF5FB-DF0F-4A5E-9608-06DD8C1D970F}">
            <xm:f>'\Users\deannah\Wyndham Testing\[Wyndham Destinations_TestCaseOverview_V3_Template.xlsx]TC1'!#REF!="HANGUP"</xm:f>
            <x14:dxf>
              <font>
                <b/>
                <i val="0"/>
              </font>
            </x14:dxf>
          </x14:cfRule>
          <x14:cfRule type="expression" priority="5" id="{C791E0D4-600B-4D65-8B11-1D3E6E1C207B}">
            <xm:f>'\Users\deannah\Wyndham Testing\[Wyndham Destinations_TestCaseOverview_V3_Template.xlsx]TC1'!#REF!="Dial"</xm:f>
            <x14:dxf>
              <font>
                <b/>
                <i val="0"/>
                <color rgb="FFFF0000"/>
              </font>
            </x14:dxf>
          </x14:cfRule>
          <xm:sqref>C11</xm:sqref>
        </x14:conditionalFormatting>
        <x14:conditionalFormatting xmlns:xm="http://schemas.microsoft.com/office/excel/2006/main">
          <x14:cfRule type="expression" priority="6" id="{CC516F26-513C-4FB2-80C8-F0F5E01E347A}">
            <xm:f>'\Users\deannah\Wyndham Testing\[Wyndham Destinations_TestCaseOverview_V3_Template.xlsx]TC1'!#REF!="Speak"</xm:f>
            <x14:dxf>
              <font>
                <b/>
                <i val="0"/>
                <color rgb="FFFF0000"/>
              </font>
            </x14:dxf>
          </x14:cfRule>
          <xm:sqref>C11</xm:sqref>
        </x14:conditionalFormatting>
        <x14:conditionalFormatting xmlns:xm="http://schemas.microsoft.com/office/excel/2006/main">
          <x14:cfRule type="expression" priority="1" id="{7008A921-F61C-468C-AF37-53EC3D56362C}">
            <xm:f>'\Users\deannah\Wyndham Testing\[Wyndham Destinations_TestCaseOverview_V3_Template.xlsx]TC1'!#REF!="HANGUP"</xm:f>
            <x14:dxf>
              <font>
                <b/>
                <i val="0"/>
              </font>
            </x14:dxf>
          </x14:cfRule>
          <x14:cfRule type="expression" priority="2" id="{4E244B73-8378-4558-8E3A-F20A09F8E0F5}">
            <xm:f>'\Users\deannah\Wyndham Testing\[Wyndham Destinations_TestCaseOverview_V3_Template.xlsx]TC1'!#REF!="Dial"</xm:f>
            <x14:dxf>
              <font>
                <b/>
                <i val="0"/>
                <color rgb="FFFF0000"/>
              </font>
            </x14:dxf>
          </x14:cfRule>
          <xm:sqref>C13</xm:sqref>
        </x14:conditionalFormatting>
        <x14:conditionalFormatting xmlns:xm="http://schemas.microsoft.com/office/excel/2006/main">
          <x14:cfRule type="expression" priority="3" id="{369E57A4-A31D-4BCA-A21C-3358B80A2335}">
            <xm:f>'\Users\deannah\Wyndham Testing\[Wyndham Destinations_TestCaseOverview_V3_Template.xlsx]TC1'!#REF!="Speak"</xm:f>
            <x14:dxf>
              <font>
                <b/>
                <i val="0"/>
                <color rgb="FFFF0000"/>
              </font>
            </x14:dxf>
          </x14:cfRule>
          <xm:sqref>C13</xm:sqref>
        </x14:conditionalFormatting>
      </x14:conditionalFormatting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dimension ref="A1:E36"/>
  <sheetViews>
    <sheetView zoomScaleNormal="100" workbookViewId="0">
      <selection activeCell="B22" sqref="B22"/>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TC43</v>
      </c>
    </row>
    <row r="3" spans="1:5">
      <c r="A3" s="100" t="s">
        <v>19</v>
      </c>
      <c r="B3" s="108">
        <f ca="1">VLOOKUP(B2,Table1[#All],2,FALSE)</f>
        <v>0</v>
      </c>
    </row>
    <row r="4" spans="1:5" ht="60">
      <c r="A4" s="109" t="s">
        <v>20</v>
      </c>
      <c r="B4" s="95" t="str">
        <f ca="1">VLOOKUP(B2,Table1[#All],4,FALSE)</f>
        <v>SvcArea =Collections, OFS05 returns success this may be Call Start - not sure which to get 0FS05 to return "success". Past Due=Yes DPD&gt;x=No, Says REP to mk pmt in full today.</v>
      </c>
    </row>
    <row r="5" spans="1:5" ht="30">
      <c r="A5" s="100" t="s">
        <v>6</v>
      </c>
      <c r="B5" s="89" t="str">
        <f ca="1">VLOOKUP(B2,Table1[#All],3,FALSE)</f>
        <v>Coll Inbd/ /ID Auth/ID Auth True, Say REP to Make Pmt in full today. Xfer</v>
      </c>
    </row>
    <row r="7" spans="1:5" ht="15.75">
      <c r="A7" s="96" t="s">
        <v>7</v>
      </c>
      <c r="B7" s="97" t="s">
        <v>8</v>
      </c>
      <c r="C7" s="98" t="s">
        <v>9</v>
      </c>
      <c r="D7" s="98" t="s">
        <v>14</v>
      </c>
      <c r="E7" s="99" t="s">
        <v>10</v>
      </c>
    </row>
    <row r="8" spans="1:5">
      <c r="A8" s="114">
        <v>1</v>
      </c>
      <c r="B8" s="110" t="s">
        <v>114</v>
      </c>
      <c r="C8" s="124" t="s">
        <v>475</v>
      </c>
      <c r="D8" s="125"/>
      <c r="E8" s="122" t="s">
        <v>11</v>
      </c>
    </row>
    <row r="9" spans="1:5">
      <c r="A9" s="114">
        <v>2</v>
      </c>
      <c r="B9" s="110" t="s">
        <v>12</v>
      </c>
      <c r="C9" s="105" t="str">
        <f>VLOOKUP(Table25755252691013434446474849565758596315181719224566677172[[#This Row],[PEG]],Table1016[#All],2,FALSE)</f>
        <v>CallID.wav Call ID &lt;CallID&gt;</v>
      </c>
      <c r="D9" s="149" t="s">
        <v>477</v>
      </c>
      <c r="E9" s="122" t="str">
        <f>VLOOKUP(Table25755252691013434446474849565758596315181719224566677172[[#This Row],[PEG]],Table1016[#All],3,FALSE)</f>
        <v>TEST</v>
      </c>
    </row>
    <row r="10" spans="1:5">
      <c r="A10" s="114">
        <v>3</v>
      </c>
      <c r="B10" s="110" t="s">
        <v>115</v>
      </c>
      <c r="C10" s="105" t="str">
        <f>VLOOKUP(Table25755252691013434446474849565758596315181719224566677172[[#This Row],[PEG]],Table1016[#All],2,FALSE)</f>
        <v>0200-1.wav To get started, what is your account number?</v>
      </c>
      <c r="D10" s="149">
        <v>200</v>
      </c>
      <c r="E10" s="122" t="str">
        <f>VLOOKUP(Table25755252691013434446474849565758596315181719224566677172[[#This Row],[PEG]],Table1016[#All],3,FALSE)</f>
        <v>MENU PROMPT</v>
      </c>
    </row>
    <row r="11" spans="1:5">
      <c r="A11" s="114">
        <v>4</v>
      </c>
      <c r="B11" s="110" t="s">
        <v>114</v>
      </c>
      <c r="C11" s="151" t="s">
        <v>515</v>
      </c>
      <c r="D11" s="149"/>
      <c r="E11" s="122" t="e">
        <f>VLOOKUP(Table25755252691013434446474849565758596315181719224566677172[[#This Row],[PEG]],Table1016[#All],3,FALSE)</f>
        <v>#N/A</v>
      </c>
    </row>
    <row r="12" spans="1:5">
      <c r="A12" s="114">
        <v>5</v>
      </c>
      <c r="B12" s="110" t="s">
        <v>115</v>
      </c>
      <c r="C12" s="105" t="str">
        <f>VLOOKUP(Table25755252691013434446474849565758596315181719224566677172[[#This Row],[PEG]],Table1016[#All],2,FALSE)</f>
        <v>0210-1.wav And the date of birth for the primary owner?</v>
      </c>
      <c r="D12" s="43">
        <v>210</v>
      </c>
      <c r="E12" s="122" t="str">
        <f>VLOOKUP(Table25755252691013434446474849565758596315181719224566677172[[#This Row],[PEG]],Table1016[#All],3,FALSE)</f>
        <v>MENU PROMPT</v>
      </c>
    </row>
    <row r="13" spans="1:5">
      <c r="A13" s="114">
        <v>6</v>
      </c>
      <c r="B13" s="110" t="s">
        <v>124</v>
      </c>
      <c r="C13" s="151" t="s">
        <v>524</v>
      </c>
      <c r="D13" s="125"/>
      <c r="E13" s="122" t="e">
        <f>VLOOKUP(Table25755252691013434446474849565758596315181719224566677172[[#This Row],[PEG]],Table1016[#All],3,FALSE)</f>
        <v>#N/A</v>
      </c>
    </row>
    <row r="14" spans="1:5">
      <c r="A14" s="114">
        <v>7</v>
      </c>
      <c r="B14" s="110" t="s">
        <v>115</v>
      </c>
      <c r="C14" s="105" t="str">
        <f>VLOOKUP(Table25755252691013434446474849565758596315181719224566677172[[#This Row],[PEG]],Table1016[#All],2,FALSE)</f>
        <v>0500.wav You have a past due balance of [amount]. Would you like to make that payment in full today?</v>
      </c>
      <c r="D14" s="112">
        <v>500</v>
      </c>
      <c r="E14" s="122" t="str">
        <f>VLOOKUP(Table25755252691013434446474849565758596315181719224566677172[[#This Row],[PEG]],Table1016[#All],3,FALSE)</f>
        <v>MENU PROMPT</v>
      </c>
    </row>
    <row r="15" spans="1:5">
      <c r="A15" s="114">
        <v>8</v>
      </c>
      <c r="B15" s="110" t="s">
        <v>124</v>
      </c>
      <c r="C15" s="151" t="s">
        <v>501</v>
      </c>
      <c r="D15" s="112"/>
      <c r="E15" s="122" t="e">
        <f>VLOOKUP(Table25755252691013434446474849565758596315181719224566677172[[#This Row],[PEG]],Table1016[#All],3,FALSE)</f>
        <v>#N/A</v>
      </c>
    </row>
    <row r="16" spans="1:5">
      <c r="A16" s="114">
        <v>9</v>
      </c>
      <c r="B16" s="110" t="s">
        <v>115</v>
      </c>
      <c r="C16" s="105" t="str">
        <f>VLOOKUP(Table25755252691013434446474849565758596315181719224566677172[[#This Row],[PEG]],Table1016[#All],2,FALSE)</f>
        <v>0900.wav Please hold, while I connect you to a customer service representative.</v>
      </c>
      <c r="D16" s="113">
        <v>900</v>
      </c>
      <c r="E16" s="122" t="str">
        <f>VLOOKUP(Table25755252691013434446474849565758596315181719224566677172[[#This Row],[PEG]],Table1016[#All],3,FALSE)</f>
        <v>PLAY PROMPT</v>
      </c>
    </row>
    <row r="17" spans="1:5">
      <c r="A17" s="114">
        <v>10</v>
      </c>
      <c r="B17" s="110" t="s">
        <v>115</v>
      </c>
      <c r="C17" s="105" t="str">
        <f>VLOOKUP(Table25755252691013434446474849565758596315181719224566677172[[#This Row],[PEG]],Table1016[#All],2,FALSE)</f>
        <v>XferNbr.wav Transfer Number &lt;TransferNbr&gt;</v>
      </c>
      <c r="D17" s="113" t="s">
        <v>480</v>
      </c>
      <c r="E17" s="122" t="str">
        <f>VLOOKUP(Table25755252691013434446474849565758596315181719224566677172[[#This Row],[PEG]],Table1016[#All],3,FALSE)</f>
        <v>TEST</v>
      </c>
    </row>
    <row r="18" spans="1:5">
      <c r="A18" s="114">
        <v>11</v>
      </c>
      <c r="B18" s="110" t="s">
        <v>13</v>
      </c>
      <c r="C18" s="17" t="s">
        <v>13</v>
      </c>
      <c r="D18" s="111"/>
      <c r="E18" s="31"/>
    </row>
    <row r="19" spans="1:5">
      <c r="C19" s="25"/>
      <c r="D19" s="107" t="s">
        <v>0</v>
      </c>
    </row>
    <row r="20" spans="1:5">
      <c r="C20" s="25"/>
    </row>
    <row r="21" spans="1:5">
      <c r="C21" s="25"/>
    </row>
    <row r="22" spans="1:5">
      <c r="C22" s="25"/>
    </row>
    <row r="23" spans="1:5">
      <c r="C23" s="25"/>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6"/>
    </row>
    <row r="35" spans="3:3">
      <c r="C35" s="26"/>
    </row>
    <row r="36" spans="3:3">
      <c r="C36" s="26"/>
    </row>
  </sheetData>
  <mergeCells count="1">
    <mergeCell ref="A1:B1"/>
  </mergeCells>
  <conditionalFormatting sqref="B18">
    <cfRule type="containsText" dxfId="5326" priority="71" operator="containsText" text="Hear">
      <formula>NOT(ISERROR(SEARCH("Hear",B18)))</formula>
    </cfRule>
  </conditionalFormatting>
  <conditionalFormatting sqref="E18">
    <cfRule type="containsText" dxfId="5325" priority="69" operator="containsText" text="WEB SERVICE">
      <formula>NOT(ISERROR(SEARCH("WEB SERVICE",E18)))</formula>
    </cfRule>
    <cfRule type="containsText" dxfId="5324" priority="70" operator="containsText" text="DB">
      <formula>NOT(ISERROR(SEARCH("DB",E18)))</formula>
    </cfRule>
  </conditionalFormatting>
  <conditionalFormatting sqref="C18:C9975">
    <cfRule type="expression" dxfId="5323" priority="72">
      <formula>$B18="Dial"</formula>
    </cfRule>
    <cfRule type="expression" dxfId="5322" priority="74">
      <formula>$B18="HANGUP"</formula>
    </cfRule>
  </conditionalFormatting>
  <conditionalFormatting sqref="C18">
    <cfRule type="expression" dxfId="5321" priority="73">
      <formula>$B18="Speak"</formula>
    </cfRule>
  </conditionalFormatting>
  <conditionalFormatting sqref="B8">
    <cfRule type="containsText" dxfId="5320" priority="16" operator="containsText" text="Hear">
      <formula>NOT(ISERROR(SEARCH("Hear",B8)))</formula>
    </cfRule>
  </conditionalFormatting>
  <conditionalFormatting sqref="C8">
    <cfRule type="expression" dxfId="5319" priority="14">
      <formula>$B8="Dial"</formula>
    </cfRule>
    <cfRule type="expression" dxfId="5318" priority="15">
      <formula>$B8="HANGUP"</formula>
    </cfRule>
  </conditionalFormatting>
  <conditionalFormatting sqref="B9:B17">
    <cfRule type="containsText" dxfId="5317" priority="13" operator="containsText" text="Hear">
      <formula>NOT(ISERROR(SEARCH("Hear",B9)))</formula>
    </cfRule>
  </conditionalFormatting>
  <hyperlinks>
    <hyperlink ref="A1" location="'Test Case Overview'!A1" display="Return to Test Case Overview" xr:uid="{00000000-0004-0000-2B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68" id="{3864CA82-D7E6-4107-83BF-4A599BB6400F}">
            <xm:f>'TC1'!$B10="HANGUP"</xm:f>
            <x14:dxf>
              <font>
                <b/>
                <i val="0"/>
              </font>
            </x14:dxf>
          </x14:cfRule>
          <x14:cfRule type="expression" priority="76" id="{BE4EEE8E-6D93-49B9-B0B7-A02DAD586CA5}">
            <xm:f>'TC1'!$B10="Dial"</xm:f>
            <x14:dxf>
              <font>
                <b/>
                <i val="0"/>
                <color rgb="FFFF0000"/>
              </font>
            </x14:dxf>
          </x14:cfRule>
          <xm:sqref>C9:C10 C12</xm:sqref>
        </x14:conditionalFormatting>
        <x14:conditionalFormatting xmlns:xm="http://schemas.microsoft.com/office/excel/2006/main">
          <x14:cfRule type="expression" priority="77" id="{ED22F3F1-C6B1-4B3A-93A6-F469670E46B7}">
            <xm:f>'TC1'!$B10="Speak"</xm:f>
            <x14:dxf>
              <font>
                <b/>
                <i val="0"/>
                <color rgb="FFFF0000"/>
              </font>
            </x14:dxf>
          </x14:cfRule>
          <xm:sqref>C9:C10 C12</xm:sqref>
        </x14:conditionalFormatting>
        <x14:conditionalFormatting xmlns:xm="http://schemas.microsoft.com/office/excel/2006/main">
          <x14:cfRule type="containsText" priority="57" operator="containsText" text="DB" id="{836383D2-42CD-418D-9B8A-B7EB2176203C}">
            <xm:f>NOT(ISERROR(SEARCH("DB",'TC1'!E10)))</xm:f>
            <x14:dxf>
              <font>
                <color rgb="FF006100"/>
              </font>
              <fill>
                <patternFill>
                  <bgColor rgb="FFC6EFCE"/>
                </patternFill>
              </fill>
            </x14:dxf>
          </x14:cfRule>
          <x14:cfRule type="containsText" priority="78" operator="containsText" text="WEB SERVICE" id="{F11F412A-D682-4905-9C67-382656616BC8}">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143" id="{3864CA82-D7E6-4107-83BF-4A599BB6400F}">
            <xm:f>'TC1'!#REF!="HANGUP"</xm:f>
            <x14:dxf>
              <font>
                <b/>
                <i val="0"/>
              </font>
            </x14:dxf>
          </x14:cfRule>
          <x14:cfRule type="expression" priority="1144" id="{BE4EEE8E-6D93-49B9-B0B7-A02DAD586CA5}">
            <xm:f>'TC1'!#REF!="Dial"</xm:f>
            <x14:dxf>
              <font>
                <b/>
                <i val="0"/>
                <color rgb="FFFF0000"/>
              </font>
            </x14:dxf>
          </x14:cfRule>
          <xm:sqref>C14 C16:C17</xm:sqref>
        </x14:conditionalFormatting>
        <x14:conditionalFormatting xmlns:xm="http://schemas.microsoft.com/office/excel/2006/main">
          <x14:cfRule type="expression" priority="1149" id="{ED22F3F1-C6B1-4B3A-93A6-F469670E46B7}">
            <xm:f>'TC1'!#REF!="Speak"</xm:f>
            <x14:dxf>
              <font>
                <b/>
                <i val="0"/>
                <color rgb="FFFF0000"/>
              </font>
            </x14:dxf>
          </x14:cfRule>
          <xm:sqref>C14 C16:C17</xm:sqref>
        </x14:conditionalFormatting>
        <x14:conditionalFormatting xmlns:xm="http://schemas.microsoft.com/office/excel/2006/main">
          <x14:cfRule type="containsText" priority="1155" operator="containsText" text="DB" id="{836383D2-42CD-418D-9B8A-B7EB2176203C}">
            <xm:f>NOT(ISERROR(SEARCH("DB",'TC1'!#REF!)))</xm:f>
            <x14:dxf>
              <font>
                <color rgb="FF006100"/>
              </font>
              <fill>
                <patternFill>
                  <bgColor rgb="FFC6EFCE"/>
                </patternFill>
              </fill>
            </x14:dxf>
          </x14:cfRule>
          <x14:cfRule type="containsText" priority="1156" operator="containsText" text="WEB SERVICE" id="{F11F412A-D682-4905-9C67-382656616BC8}">
            <xm:f>NOT(ISERROR(SEARCH("WEB SERVICE",'TC1'!#REF!)))</xm:f>
            <x14:dxf>
              <font>
                <color rgb="FF9C0006"/>
              </font>
              <fill>
                <patternFill>
                  <bgColor rgb="FFFFC7CE"/>
                </patternFill>
              </fill>
            </x14:dxf>
          </x14:cfRule>
          <xm:sqref>E13:E17</xm:sqref>
        </x14:conditionalFormatting>
        <x14:conditionalFormatting xmlns:xm="http://schemas.microsoft.com/office/excel/2006/main">
          <x14:cfRule type="expression" priority="10" id="{178C85EC-5A86-495E-BC98-E53A54004892}">
            <xm:f>'\Users\deannah\Wyndham Testing\[Wyndham Destinations_TestCaseOverview_V3_Template.xlsx]TC1'!#REF!="HANGUP"</xm:f>
            <x14:dxf>
              <font>
                <b/>
                <i val="0"/>
              </font>
            </x14:dxf>
          </x14:cfRule>
          <x14:cfRule type="expression" priority="11" id="{65187854-302E-4325-9274-5D44651AF0DF}">
            <xm:f>'\Users\deannah\Wyndham Testing\[Wyndham Destinations_TestCaseOverview_V3_Template.xlsx]TC1'!#REF!="Dial"</xm:f>
            <x14:dxf>
              <font>
                <b/>
                <i val="0"/>
                <color rgb="FFFF0000"/>
              </font>
            </x14:dxf>
          </x14:cfRule>
          <xm:sqref>D12</xm:sqref>
        </x14:conditionalFormatting>
        <x14:conditionalFormatting xmlns:xm="http://schemas.microsoft.com/office/excel/2006/main">
          <x14:cfRule type="expression" priority="12" id="{546B1892-13A2-4D82-9EF2-43C141196F96}">
            <xm:f>'\Users\deannah\Wyndham Testing\[Wyndham Destinations_TestCaseOverview_V3_Template.xlsx]TC1'!#REF!="Speak"</xm:f>
            <x14:dxf>
              <font>
                <b/>
                <i val="0"/>
                <color rgb="FFFF0000"/>
              </font>
            </x14:dxf>
          </x14:cfRule>
          <xm:sqref>D12</xm:sqref>
        </x14:conditionalFormatting>
        <x14:conditionalFormatting xmlns:xm="http://schemas.microsoft.com/office/excel/2006/main">
          <x14:cfRule type="expression" priority="7" id="{01590ADA-F272-4CA6-9C88-CF0CCA5B202F}">
            <xm:f>'\Users\deannah\Wyndham Testing\[Wyndham Destinations_TestCaseOverview_V3_Template.xlsx]TC1'!#REF!="HANGUP"</xm:f>
            <x14:dxf>
              <font>
                <b/>
                <i val="0"/>
              </font>
            </x14:dxf>
          </x14:cfRule>
          <x14:cfRule type="expression" priority="8" id="{C34EDA3F-B440-4532-8C1A-2B87791878B4}">
            <xm:f>'\Users\deannah\Wyndham Testing\[Wyndham Destinations_TestCaseOverview_V3_Template.xlsx]TC1'!#REF!="Dial"</xm:f>
            <x14:dxf>
              <font>
                <b/>
                <i val="0"/>
                <color rgb="FFFF0000"/>
              </font>
            </x14:dxf>
          </x14:cfRule>
          <xm:sqref>C11</xm:sqref>
        </x14:conditionalFormatting>
        <x14:conditionalFormatting xmlns:xm="http://schemas.microsoft.com/office/excel/2006/main">
          <x14:cfRule type="expression" priority="9" id="{25B6F383-9781-423C-971E-97A3FB4A8EA3}">
            <xm:f>'\Users\deannah\Wyndham Testing\[Wyndham Destinations_TestCaseOverview_V3_Template.xlsx]TC1'!#REF!="Speak"</xm:f>
            <x14:dxf>
              <font>
                <b/>
                <i val="0"/>
                <color rgb="FFFF0000"/>
              </font>
            </x14:dxf>
          </x14:cfRule>
          <xm:sqref>C11</xm:sqref>
        </x14:conditionalFormatting>
        <x14:conditionalFormatting xmlns:xm="http://schemas.microsoft.com/office/excel/2006/main">
          <x14:cfRule type="expression" priority="4" id="{93A2E5BF-B92B-4A07-A536-E9F003CD041D}">
            <xm:f>'\Users\deannah\Wyndham Testing\[Wyndham Destinations_TestCaseOverview_V3_Template.xlsx]TC1'!#REF!="HANGUP"</xm:f>
            <x14:dxf>
              <font>
                <b/>
                <i val="0"/>
              </font>
            </x14:dxf>
          </x14:cfRule>
          <x14:cfRule type="expression" priority="5" id="{F952EB53-8BD7-4A38-AE44-D87A85E8EB65}">
            <xm:f>'\Users\deannah\Wyndham Testing\[Wyndham Destinations_TestCaseOverview_V3_Template.xlsx]TC1'!#REF!="Dial"</xm:f>
            <x14:dxf>
              <font>
                <b/>
                <i val="0"/>
                <color rgb="FFFF0000"/>
              </font>
            </x14:dxf>
          </x14:cfRule>
          <xm:sqref>C15</xm:sqref>
        </x14:conditionalFormatting>
        <x14:conditionalFormatting xmlns:xm="http://schemas.microsoft.com/office/excel/2006/main">
          <x14:cfRule type="expression" priority="6" id="{D09239A0-5777-4098-9A34-BFB8AB41EA45}">
            <xm:f>'\Users\deannah\Wyndham Testing\[Wyndham Destinations_TestCaseOverview_V3_Template.xlsx]TC1'!#REF!="Speak"</xm:f>
            <x14:dxf>
              <font>
                <b/>
                <i val="0"/>
                <color rgb="FFFF0000"/>
              </font>
            </x14:dxf>
          </x14:cfRule>
          <xm:sqref>C15</xm:sqref>
        </x14:conditionalFormatting>
        <x14:conditionalFormatting xmlns:xm="http://schemas.microsoft.com/office/excel/2006/main">
          <x14:cfRule type="expression" priority="1" id="{0F199878-C9D9-4117-893C-F06F8B17FD49}">
            <xm:f>'\Users\deannah\Wyndham Testing\[Wyndham Destinations_TestCaseOverview_V3_Template.xlsx]TC1'!#REF!="HANGUP"</xm:f>
            <x14:dxf>
              <font>
                <b/>
                <i val="0"/>
              </font>
            </x14:dxf>
          </x14:cfRule>
          <x14:cfRule type="expression" priority="2" id="{AA324E64-3A19-4D0A-9F69-9D4385138275}">
            <xm:f>'\Users\deannah\Wyndham Testing\[Wyndham Destinations_TestCaseOverview_V3_Template.xlsx]TC1'!#REF!="Dial"</xm:f>
            <x14:dxf>
              <font>
                <b/>
                <i val="0"/>
                <color rgb="FFFF0000"/>
              </font>
            </x14:dxf>
          </x14:cfRule>
          <xm:sqref>C13</xm:sqref>
        </x14:conditionalFormatting>
        <x14:conditionalFormatting xmlns:xm="http://schemas.microsoft.com/office/excel/2006/main">
          <x14:cfRule type="expression" priority="3" id="{9BBED255-5B58-4509-9040-15B70C7A2FF9}">
            <xm:f>'\Users\deannah\Wyndham Testing\[Wyndham Destinations_TestCaseOverview_V3_Template.xlsx]TC1'!#REF!="Speak"</xm:f>
            <x14:dxf>
              <font>
                <b/>
                <i val="0"/>
                <color rgb="FFFF0000"/>
              </font>
            </x14:dxf>
          </x14:cfRule>
          <xm:sqref>C13</xm:sqref>
        </x14:conditionalFormatting>
      </x14:conditionalFormatting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dimension ref="A1:E43"/>
  <sheetViews>
    <sheetView zoomScaleNormal="100" workbookViewId="0">
      <selection activeCell="D9" sqref="D9:D23"/>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TC44</v>
      </c>
    </row>
    <row r="3" spans="1:5">
      <c r="A3" s="100" t="s">
        <v>19</v>
      </c>
      <c r="B3" s="108">
        <f ca="1">VLOOKUP(B2,Table1[#All],2,FALSE)</f>
        <v>0</v>
      </c>
    </row>
    <row r="4" spans="1:5" ht="60">
      <c r="A4" s="109" t="s">
        <v>20</v>
      </c>
      <c r="B4" s="95" t="str">
        <f ca="1">VLOOKUP(B2,Table1[#All],4,FALSE)</f>
        <v xml:space="preserve">svcArea=titleSvcs, serviceType=checkStatus, Completed=Yes, &gt; 15 days ago?=yes. Say Yes to peg 0310 send copy of conf ltr. OSF04 returns success. </v>
      </c>
    </row>
    <row r="5" spans="1:5" ht="60">
      <c r="A5" s="100" t="s">
        <v>6</v>
      </c>
      <c r="B5" s="89" t="str">
        <f ca="1">VLOOKUP(B2,Table1[#All],3,FALSE)</f>
        <v>CallStart Main Menu /Title /CheckStatus/ID Auth=True/Yes to copy of conf ltr/Say YES to anything thing else today/ Say representative/Xfer</v>
      </c>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VLOOKUP(Table2575525269101343444647484956575859631518171922456667717273[[#This Row],[PEG]],Table1016[#All],2,FALSE)</f>
        <v>CallID.wav Call ID &lt;CallID&gt;</v>
      </c>
      <c r="D9" s="149" t="s">
        <v>477</v>
      </c>
      <c r="E9" s="122" t="str">
        <f>VLOOKUP(Table2575525269101343444647484956575859631518171922456667717273[[#This Row],[PEG]],Table1016[#All],3,FALSE)</f>
        <v>TEST</v>
      </c>
    </row>
    <row r="10" spans="1:5" ht="30">
      <c r="A10" s="114">
        <v>3</v>
      </c>
      <c r="B10" s="110" t="s">
        <v>115</v>
      </c>
      <c r="C10" s="105" t="str">
        <f>VLOOKUP(Table2575525269101343444647484956575859631518171922456667717273[[#This Row],[PEG]],Table1016[#All],2,FALSE)</f>
        <v>0100.wav Thank you for calling Shell vacations Club, we are glad you called. Please have your account number available for faster service. [To continue in Spanish, press 9]</v>
      </c>
      <c r="D10" s="149">
        <v>100</v>
      </c>
      <c r="E10" s="122" t="str">
        <f>VLOOKUP(Table2575525269101343444647484956575859631518171922456667717273[[#This Row],[PEG]],Table1016[#All],3,FALSE)</f>
        <v>PLAY PROMPT</v>
      </c>
    </row>
    <row r="11" spans="1:5" ht="30">
      <c r="A11" s="114">
        <v>4</v>
      </c>
      <c r="B11" s="110" t="s">
        <v>115</v>
      </c>
      <c r="C11" s="105" t="str">
        <f>VLOOKUP(Table2575525269101343444647484956575859631518171922456667717273[[#This Row],[PEG]],Table1016[#All],2,FALSE)</f>
        <v>0110-1.wav Which would you like? You can say... reservations, payments &amp; statements, title &amp; ownership changes, or more options.</v>
      </c>
      <c r="D11" s="149">
        <v>110</v>
      </c>
      <c r="E11" s="122" t="str">
        <f>VLOOKUP(Table2575525269101343444647484956575859631518171922456667717273[[#This Row],[PEG]],Table1016[#All],3,FALSE)</f>
        <v>MENU PROMPT</v>
      </c>
    </row>
    <row r="12" spans="1:5">
      <c r="A12" s="114">
        <v>5</v>
      </c>
      <c r="B12" s="110" t="s">
        <v>124</v>
      </c>
      <c r="C12" s="158" t="s">
        <v>2</v>
      </c>
      <c r="D12" s="149"/>
      <c r="E12" s="122" t="e">
        <f>VLOOKUP(Table2575525269101343444647484956575859631518171922456667717273[[#This Row],[PEG]],Table1016[#All],3,FALSE)</f>
        <v>#N/A</v>
      </c>
    </row>
    <row r="13" spans="1:5" ht="30">
      <c r="A13" s="114">
        <v>6</v>
      </c>
      <c r="B13" s="110" t="s">
        <v>115</v>
      </c>
      <c r="C13" s="105" t="str">
        <f>VLOOKUP(Table2575525269101343444647484956575859631518171922456667717273[[#This Row],[PEG]],Table1016[#All],2,FALSE)</f>
        <v>0300-1.wav You can say ownership changes, check status, make a payment, or help me with something else. Which would you like?</v>
      </c>
      <c r="D13" s="149">
        <v>300</v>
      </c>
      <c r="E13" s="122" t="str">
        <f>VLOOKUP(Table2575525269101343444647484956575859631518171922456667717273[[#This Row],[PEG]],Table1016[#All],3,FALSE)</f>
        <v>MENU PROMPT</v>
      </c>
    </row>
    <row r="14" spans="1:5">
      <c r="A14" s="114">
        <v>7</v>
      </c>
      <c r="B14" s="110" t="s">
        <v>124</v>
      </c>
      <c r="C14" s="151" t="s">
        <v>492</v>
      </c>
      <c r="D14" s="125"/>
      <c r="E14" s="122" t="e">
        <f>VLOOKUP(Table2575525269101343444647484956575859631518171922456667717273[[#This Row],[PEG]],Table1016[#All],3,FALSE)</f>
        <v>#N/A</v>
      </c>
    </row>
    <row r="15" spans="1:5">
      <c r="A15" s="114">
        <v>8</v>
      </c>
      <c r="B15" s="110" t="s">
        <v>115</v>
      </c>
      <c r="C15" s="105" t="str">
        <f>VLOOKUP(Table2575525269101343444647484956575859631518171922456667717273[[#This Row],[PEG]],Table1016[#All],2,FALSE)</f>
        <v>0200-1.wav To get started, what is your account number?</v>
      </c>
      <c r="D15" s="112">
        <v>200</v>
      </c>
      <c r="E15" s="122" t="str">
        <f>VLOOKUP(Table2575525269101343444647484956575859631518171922456667717273[[#This Row],[PEG]],Table1016[#All],3,FALSE)</f>
        <v>MENU PROMPT</v>
      </c>
    </row>
    <row r="16" spans="1:5">
      <c r="A16" s="114">
        <v>9</v>
      </c>
      <c r="B16" s="110" t="s">
        <v>114</v>
      </c>
      <c r="C16" s="151" t="s">
        <v>515</v>
      </c>
      <c r="D16" s="112"/>
      <c r="E16" s="122" t="e">
        <f>VLOOKUP(Table2575525269101343444647484956575859631518171922456667717273[[#This Row],[PEG]],Table1016[#All],3,FALSE)</f>
        <v>#N/A</v>
      </c>
    </row>
    <row r="17" spans="1:5">
      <c r="A17" s="114">
        <v>10</v>
      </c>
      <c r="B17" s="110" t="s">
        <v>12</v>
      </c>
      <c r="C17" s="105" t="str">
        <f>VLOOKUP(Table2575525269101343444647484956575859631518171922456667717273[[#This Row],[PEG]],Table1016[#All],2,FALSE)</f>
        <v>0210-1.wav And the date of birth for the primary owner?</v>
      </c>
      <c r="D17" s="113">
        <v>210</v>
      </c>
      <c r="E17" s="122" t="str">
        <f>VLOOKUP(Table2575525269101343444647484956575859631518171922456667717273[[#This Row],[PEG]],Table1016[#All],3,FALSE)</f>
        <v>MENU PROMPT</v>
      </c>
    </row>
    <row r="18" spans="1:5">
      <c r="A18" s="114">
        <v>11</v>
      </c>
      <c r="B18" s="110" t="s">
        <v>124</v>
      </c>
      <c r="C18" s="151" t="s">
        <v>524</v>
      </c>
      <c r="D18" s="113"/>
      <c r="E18" s="122" t="e">
        <f>VLOOKUP(Table2575525269101343444647484956575859631518171922456667717273[[#This Row],[PEG]],Table1016[#All],3,FALSE)</f>
        <v>#N/A</v>
      </c>
    </row>
    <row r="19" spans="1:5" ht="30">
      <c r="A19" s="114">
        <v>12</v>
      </c>
      <c r="B19" s="110" t="s">
        <v>115</v>
      </c>
      <c r="C19" s="105" t="str">
        <f>VLOOKUP(Table2575525269101343444647484956575859631518171922456667717273[[#This Row],[PEG]],Table1016[#All],2,FALSE)</f>
        <v>0310-1.wav Your request to transfer ownership was processed on &lt;date&gt;. Would you like me to send you a copy of the confirmation letter? &lt;pause&gt; If you would like to speak with someone, just say "representative."</v>
      </c>
      <c r="D19" s="113">
        <v>310</v>
      </c>
      <c r="E19" s="122" t="str">
        <f>VLOOKUP(Table2575525269101343444647484956575859631518171922456667717273[[#This Row],[PEG]],Table1016[#All],3,FALSE)</f>
        <v>PLAY PROMPT</v>
      </c>
    </row>
    <row r="20" spans="1:5">
      <c r="A20" s="114">
        <v>13</v>
      </c>
      <c r="B20" s="110" t="s">
        <v>124</v>
      </c>
      <c r="C20" s="151" t="s">
        <v>582</v>
      </c>
      <c r="D20" s="113"/>
      <c r="E20" s="122" t="e">
        <f>VLOOKUP(Table2575525269101343444647484956575859631518171922456667717273[[#This Row],[PEG]],Table1016[#All],3,FALSE)</f>
        <v>#N/A</v>
      </c>
    </row>
    <row r="21" spans="1:5" ht="30">
      <c r="A21" s="114">
        <v>14</v>
      </c>
      <c r="B21" s="110" t="s">
        <v>115</v>
      </c>
      <c r="C21" s="105" t="str">
        <f>VLOOKUP(Table2575525269101343444647484956575859631518171922456667717273[[#This Row],[PEG]],Table1016[#All],2,FALSE)</f>
        <v>0920.wav I've processed your request. Is there anything else I can help you with today? You can say main menu or simply hang up.</v>
      </c>
      <c r="D21" s="113">
        <v>920</v>
      </c>
      <c r="E21" s="122" t="str">
        <f>VLOOKUP(Table2575525269101343444647484956575859631518171922456667717273[[#This Row],[PEG]],Table1016[#All],3,FALSE)</f>
        <v>MENU PROMPT</v>
      </c>
    </row>
    <row r="22" spans="1:5">
      <c r="A22" s="114">
        <v>15</v>
      </c>
      <c r="B22" s="110" t="s">
        <v>124</v>
      </c>
      <c r="C22" s="151" t="s">
        <v>473</v>
      </c>
      <c r="D22" s="113"/>
      <c r="E22" s="122" t="e">
        <f>VLOOKUP(Table2575525269101343444647484956575859631518171922456667717273[[#This Row],[PEG]],Table1016[#All],3,FALSE)</f>
        <v>#N/A</v>
      </c>
    </row>
    <row r="23" spans="1:5">
      <c r="A23" s="114">
        <v>16</v>
      </c>
      <c r="B23" s="110" t="s">
        <v>115</v>
      </c>
      <c r="C23" s="105" t="str">
        <f>VLOOKUP(Table2575525269101343444647484956575859631518171922456667717273[[#This Row],[PEG]],Table1016[#All],2,FALSE)</f>
        <v>0900.wav Please hold, while I connect you to a customer service representative.</v>
      </c>
      <c r="D23" s="113">
        <v>900</v>
      </c>
      <c r="E23" s="122" t="str">
        <f>VLOOKUP(Table2575525269101343444647484956575859631518171922456667717273[[#This Row],[PEG]],Table1016[#All],3,FALSE)</f>
        <v>PLAY PROMPT</v>
      </c>
    </row>
    <row r="24" spans="1:5">
      <c r="A24" s="114">
        <v>17</v>
      </c>
      <c r="B24" s="110" t="s">
        <v>115</v>
      </c>
      <c r="C24" s="105" t="str">
        <f>VLOOKUP(Table2575525269101343444647484956575859631518171922456667717273[[#This Row],[PEG]],Table1016[#All],2,FALSE)</f>
        <v>XferNbr.wav Transfer Number &lt;TransferNbr&gt;</v>
      </c>
      <c r="D24" s="113" t="s">
        <v>480</v>
      </c>
      <c r="E24" s="122" t="str">
        <f>VLOOKUP(Table2575525269101343444647484956575859631518171922456667717273[[#This Row],[PEG]],Table1016[#All],3,FALSE)</f>
        <v>TEST</v>
      </c>
    </row>
    <row r="25" spans="1:5">
      <c r="A25" s="114">
        <v>18</v>
      </c>
      <c r="B25" s="110" t="s">
        <v>13</v>
      </c>
      <c r="C25" s="17" t="s">
        <v>13</v>
      </c>
      <c r="D25" s="111"/>
      <c r="E25" s="31"/>
    </row>
    <row r="26" spans="1:5">
      <c r="C26" s="25"/>
      <c r="D26" s="107" t="s">
        <v>0</v>
      </c>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5"/>
    </row>
    <row r="39" spans="3:3">
      <c r="C39" s="25"/>
    </row>
    <row r="40" spans="3:3">
      <c r="C40" s="25"/>
    </row>
    <row r="41" spans="3:3">
      <c r="C41" s="26"/>
    </row>
    <row r="42" spans="3:3">
      <c r="C42" s="26"/>
    </row>
    <row r="43" spans="3:3">
      <c r="C43" s="26"/>
    </row>
  </sheetData>
  <mergeCells count="1">
    <mergeCell ref="A1:B1"/>
  </mergeCells>
  <conditionalFormatting sqref="B23:B25">
    <cfRule type="containsText" dxfId="5285" priority="45" operator="containsText" text="Hear">
      <formula>NOT(ISERROR(SEARCH("Hear",B23)))</formula>
    </cfRule>
  </conditionalFormatting>
  <conditionalFormatting sqref="E25">
    <cfRule type="containsText" dxfId="5284" priority="43" operator="containsText" text="WEB SERVICE">
      <formula>NOT(ISERROR(SEARCH("WEB SERVICE",E25)))</formula>
    </cfRule>
    <cfRule type="containsText" dxfId="5283" priority="44" operator="containsText" text="DB">
      <formula>NOT(ISERROR(SEARCH("DB",E25)))</formula>
    </cfRule>
  </conditionalFormatting>
  <conditionalFormatting sqref="C25:C9982">
    <cfRule type="expression" dxfId="5282" priority="46">
      <formula>$B25="Dial"</formula>
    </cfRule>
    <cfRule type="expression" dxfId="5281" priority="48">
      <formula>$B25="HANGUP"</formula>
    </cfRule>
  </conditionalFormatting>
  <conditionalFormatting sqref="C25">
    <cfRule type="expression" dxfId="5280" priority="47">
      <formula>$B25="Speak"</formula>
    </cfRule>
  </conditionalFormatting>
  <conditionalFormatting sqref="B8">
    <cfRule type="containsText" dxfId="5279" priority="9" operator="containsText" text="Hear">
      <formula>NOT(ISERROR(SEARCH("Hear",B8)))</formula>
    </cfRule>
  </conditionalFormatting>
  <conditionalFormatting sqref="B20:B22">
    <cfRule type="containsText" dxfId="5278" priority="8" operator="containsText" text="Hear">
      <formula>NOT(ISERROR(SEARCH("Hear",B20)))</formula>
    </cfRule>
  </conditionalFormatting>
  <conditionalFormatting sqref="B9:B19">
    <cfRule type="containsText" dxfId="5277" priority="7" operator="containsText" text="Hear">
      <formula>NOT(ISERROR(SEARCH("Hear",B9)))</formula>
    </cfRule>
  </conditionalFormatting>
  <hyperlinks>
    <hyperlink ref="A1" location="'Test Case Overview'!A1" display="Return to Test Case Overview" xr:uid="{00000000-0004-0000-2C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42" id="{7A8672E7-C5CA-41A1-A1E1-F126C8F6C67B}">
            <xm:f>'TC1'!$B8="HANGUP"</xm:f>
            <x14:dxf>
              <font>
                <b/>
                <i val="0"/>
              </font>
            </x14:dxf>
          </x14:cfRule>
          <x14:cfRule type="expression" priority="50" id="{4B58A382-57BE-4D86-AE8D-CDB2A501D848}">
            <xm:f>'TC1'!$B8="Dial"</xm:f>
            <x14:dxf>
              <font>
                <b/>
                <i val="0"/>
                <color rgb="FFFF0000"/>
              </font>
            </x14:dxf>
          </x14:cfRule>
          <xm:sqref>C8</xm:sqref>
        </x14:conditionalFormatting>
        <x14:conditionalFormatting xmlns:xm="http://schemas.microsoft.com/office/excel/2006/main">
          <x14:cfRule type="expression" priority="51" id="{065FD139-8218-48C4-A25F-66913F26D873}">
            <xm:f>'TC1'!$B8="Speak"</xm:f>
            <x14:dxf>
              <font>
                <b/>
                <i val="0"/>
                <color rgb="FFFF0000"/>
              </font>
            </x14:dxf>
          </x14:cfRule>
          <xm:sqref>C8</xm:sqref>
        </x14:conditionalFormatting>
        <x14:conditionalFormatting xmlns:xm="http://schemas.microsoft.com/office/excel/2006/main">
          <x14:cfRule type="containsText" priority="31" operator="containsText" text="DB" id="{0BF9EFFA-1849-4A79-AE03-E16BACECFF2B}">
            <xm:f>NOT(ISERROR(SEARCH("DB",'TC1'!E10)))</xm:f>
            <x14:dxf>
              <font>
                <color rgb="FF006100"/>
              </font>
              <fill>
                <patternFill>
                  <bgColor rgb="FFC6EFCE"/>
                </patternFill>
              </fill>
            </x14:dxf>
          </x14:cfRule>
          <x14:cfRule type="containsText" priority="52" operator="containsText" text="WEB SERVICE" id="{45DC26DC-692E-42FE-914A-4272FBCE4C81}">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156" id="{7A8672E7-C5CA-41A1-A1E1-F126C8F6C67B}">
            <xm:f>'TC1'!#REF!="HANGUP"</xm:f>
            <x14:dxf>
              <font>
                <b/>
                <i val="0"/>
              </font>
            </x14:dxf>
          </x14:cfRule>
          <x14:cfRule type="expression" priority="1157" id="{4B58A382-57BE-4D86-AE8D-CDB2A501D848}">
            <xm:f>'TC1'!#REF!="Dial"</xm:f>
            <x14:dxf>
              <font>
                <b/>
                <i val="0"/>
                <color rgb="FFFF0000"/>
              </font>
            </x14:dxf>
          </x14:cfRule>
          <xm:sqref>C13:C15 C17 C19:C24</xm:sqref>
        </x14:conditionalFormatting>
        <x14:conditionalFormatting xmlns:xm="http://schemas.microsoft.com/office/excel/2006/main">
          <x14:cfRule type="expression" priority="1162" id="{065FD139-8218-48C4-A25F-66913F26D873}">
            <xm:f>'TC1'!#REF!="Speak"</xm:f>
            <x14:dxf>
              <font>
                <b/>
                <i val="0"/>
                <color rgb="FFFF0000"/>
              </font>
            </x14:dxf>
          </x14:cfRule>
          <xm:sqref>C13:C15 C17 C19:C24</xm:sqref>
        </x14:conditionalFormatting>
        <x14:conditionalFormatting xmlns:xm="http://schemas.microsoft.com/office/excel/2006/main">
          <x14:cfRule type="containsText" priority="1168" operator="containsText" text="DB" id="{0BF9EFFA-1849-4A79-AE03-E16BACECFF2B}">
            <xm:f>NOT(ISERROR(SEARCH("DB",'TC1'!#REF!)))</xm:f>
            <x14:dxf>
              <font>
                <color rgb="FF006100"/>
              </font>
              <fill>
                <patternFill>
                  <bgColor rgb="FFC6EFCE"/>
                </patternFill>
              </fill>
            </x14:dxf>
          </x14:cfRule>
          <x14:cfRule type="containsText" priority="1169" operator="containsText" text="WEB SERVICE" id="{45DC26DC-692E-42FE-914A-4272FBCE4C81}">
            <xm:f>NOT(ISERROR(SEARCH("WEB SERVICE",'TC1'!#REF!)))</xm:f>
            <x14:dxf>
              <font>
                <color rgb="FF9C0006"/>
              </font>
              <fill>
                <patternFill>
                  <bgColor rgb="FFFFC7CE"/>
                </patternFill>
              </fill>
            </x14:dxf>
          </x14:cfRule>
          <xm:sqref>E13:E24</xm:sqref>
        </x14:conditionalFormatting>
        <x14:conditionalFormatting xmlns:xm="http://schemas.microsoft.com/office/excel/2006/main">
          <x14:cfRule type="expression" priority="3718" id="{7A8672E7-C5CA-41A1-A1E1-F126C8F6C67B}">
            <xm:f>'TC1'!$B10="HANGUP"</xm:f>
            <x14:dxf>
              <font>
                <b/>
                <i val="0"/>
              </font>
            </x14:dxf>
          </x14:cfRule>
          <x14:cfRule type="expression" priority="3719" id="{4B58A382-57BE-4D86-AE8D-CDB2A501D848}">
            <xm:f>'TC1'!$B10="Dial"</xm:f>
            <x14:dxf>
              <font>
                <b/>
                <i val="0"/>
                <color rgb="FFFF0000"/>
              </font>
            </x14:dxf>
          </x14:cfRule>
          <xm:sqref>C9:C12</xm:sqref>
        </x14:conditionalFormatting>
        <x14:conditionalFormatting xmlns:xm="http://schemas.microsoft.com/office/excel/2006/main">
          <x14:cfRule type="expression" priority="3721" id="{065FD139-8218-48C4-A25F-66913F26D873}">
            <xm:f>'TC1'!$B10="Speak"</xm:f>
            <x14:dxf>
              <font>
                <b/>
                <i val="0"/>
                <color rgb="FFFF0000"/>
              </font>
            </x14:dxf>
          </x14:cfRule>
          <xm:sqref>C9:C12</xm:sqref>
        </x14:conditionalFormatting>
        <x14:conditionalFormatting xmlns:xm="http://schemas.microsoft.com/office/excel/2006/main">
          <x14:cfRule type="expression" priority="4" id="{92DC3741-98B1-484A-AD2D-FDBB275E4873}">
            <xm:f>'\Users\deannah\Wyndham Testing\[Wyndham Destinations_TestCaseOverview_V3_Template.xlsx]TC1'!#REF!="HANGUP"</xm:f>
            <x14:dxf>
              <font>
                <b/>
                <i val="0"/>
              </font>
            </x14:dxf>
          </x14:cfRule>
          <x14:cfRule type="expression" priority="5" id="{610B0E4F-9B06-409E-8393-3307C0321DF4}">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6" id="{E2F42762-7909-4B66-B6AA-B45F340022B7}">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1" id="{E88085EB-E5AC-4E8D-9A6F-D3BAA50AE078}">
            <xm:f>'\Users\deannah\Wyndham Testing\[Wyndham Destinations_TestCaseOverview_V3_Template.xlsx]TC1'!#REF!="HANGUP"</xm:f>
            <x14:dxf>
              <font>
                <b/>
                <i val="0"/>
              </font>
            </x14:dxf>
          </x14:cfRule>
          <x14:cfRule type="expression" priority="2" id="{FCD2AA39-395D-4A83-94C9-6B63C028B4B9}">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3" id="{A7CD91AD-1ABE-4840-B1EA-6E9E0043D205}">
            <xm:f>'\Users\deannah\Wyndham Testing\[Wyndham Destinations_TestCaseOverview_V3_Template.xlsx]TC1'!#REF!="Speak"</xm:f>
            <x14:dxf>
              <font>
                <b/>
                <i val="0"/>
                <color rgb="FFFF0000"/>
              </font>
            </x14:dxf>
          </x14:cfRule>
          <xm:sqref>C18</xm:sqref>
        </x14:conditionalFormatting>
      </x14:conditionalFormatting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dimension ref="A1:E43"/>
  <sheetViews>
    <sheetView zoomScaleNormal="100" workbookViewId="0">
      <selection sqref="A1:B1"/>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TC45</v>
      </c>
    </row>
    <row r="3" spans="1:5">
      <c r="A3" s="100" t="s">
        <v>19</v>
      </c>
      <c r="B3" s="108">
        <f ca="1">VLOOKUP(B2,Table1[#All],2,FALSE)</f>
        <v>0</v>
      </c>
    </row>
    <row r="4" spans="1:5" ht="30">
      <c r="A4" s="109" t="s">
        <v>20</v>
      </c>
      <c r="B4" s="95" t="str">
        <f ca="1">VLOOKUP(B2,Table1[#All],4,FALSE)</f>
        <v>3 or less contracts, Autopay active, has current amt due</v>
      </c>
    </row>
    <row r="5" spans="1:5" ht="75">
      <c r="A5" s="100" t="s">
        <v>6</v>
      </c>
      <c r="B5" s="89" t="str">
        <f ca="1">VLOOKUP(B2,Table1[#All],3,FALSE)</f>
        <v>CallStart Main Menu/Payments/check status/ serviceType=check Status/ID Auth/ID Auth True,Finance Exception code=else/Say No, to make a payment today/Say Rep to anything else today/ Xfer</v>
      </c>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VLOOKUP(Table257552526910134344464748495657585963151817192245666771727374[[#This Row],[PEG]],Table1016[#All],2,FALSE)</f>
        <v>CallID.wav Call ID &lt;CallID&gt;</v>
      </c>
      <c r="D9" s="145" t="s">
        <v>477</v>
      </c>
      <c r="E9" s="122" t="str">
        <f>VLOOKUP(Table257552526910134344464748495657585963151817192245666771727374[[#This Row],[PEG]],Table1016[#All],3,FALSE)</f>
        <v>TEST</v>
      </c>
    </row>
    <row r="10" spans="1:5" ht="30">
      <c r="A10" s="114">
        <v>3</v>
      </c>
      <c r="B10" s="110" t="s">
        <v>115</v>
      </c>
      <c r="C10" s="105" t="str">
        <f>VLOOKUP(Table257552526910134344464748495657585963151817192245666771727374[[#This Row],[PEG]],Table1016[#All],2,FALSE)</f>
        <v>0100.wav Thank you for calling Shell vacations Club, we are glad you called. Please have your account number available for faster service. [To continue in Spanish, press 9]</v>
      </c>
      <c r="D10" s="145">
        <v>100</v>
      </c>
      <c r="E10" s="122" t="str">
        <f>VLOOKUP(Table257552526910134344464748495657585963151817192245666771727374[[#This Row],[PEG]],Table1016[#All],3,FALSE)</f>
        <v>PLAY PROMPT</v>
      </c>
    </row>
    <row r="11" spans="1:5" ht="30">
      <c r="A11" s="114">
        <v>4</v>
      </c>
      <c r="B11" s="110" t="s">
        <v>115</v>
      </c>
      <c r="C11" s="105" t="str">
        <f>VLOOKUP(Table257552526910134344464748495657585963151817192245666771727374[[#This Row],[PEG]],Table1016[#All],2,FALSE)</f>
        <v>0110-1.wav Which would you like? You can say... reservations, payments &amp; statements, title &amp; ownership changes, or more options.</v>
      </c>
      <c r="D11" s="145">
        <v>110</v>
      </c>
      <c r="E11" s="122" t="str">
        <f>VLOOKUP(Table257552526910134344464748495657585963151817192245666771727374[[#This Row],[PEG]],Table1016[#All],3,FALSE)</f>
        <v>MENU PROMPT</v>
      </c>
    </row>
    <row r="12" spans="1:5">
      <c r="A12" s="114">
        <v>5</v>
      </c>
      <c r="B12" s="110" t="s">
        <v>124</v>
      </c>
      <c r="C12" s="158" t="s">
        <v>565</v>
      </c>
      <c r="D12" s="145"/>
      <c r="E12" s="122" t="e">
        <f>VLOOKUP(Table257552526910134344464748495657585963151817192245666771727374[[#This Row],[PEG]],Table1016[#All],3,FALSE)</f>
        <v>#N/A</v>
      </c>
    </row>
    <row r="13" spans="1:5" ht="30">
      <c r="A13" s="114">
        <v>6</v>
      </c>
      <c r="B13" s="110" t="s">
        <v>115</v>
      </c>
      <c r="C13" s="105" t="str">
        <f>VLOOKUP(Table257552526910134344464748495657585963151817192245666771727374[[#This Row],[PEG]],Table1016[#All],2,FALSE)</f>
        <v>400.wav You can say make a payment, check account status, request a document, or more options. Which would you like?</v>
      </c>
      <c r="D13" s="145">
        <v>400</v>
      </c>
      <c r="E13" s="122" t="str">
        <f>VLOOKUP(Table257552526910134344464748495657585963151817192245666771727374[[#This Row],[PEG]],Table1016[#All],3,FALSE)</f>
        <v>MENU PROMPT</v>
      </c>
    </row>
    <row r="14" spans="1:5">
      <c r="A14" s="114">
        <v>7</v>
      </c>
      <c r="B14" s="110" t="s">
        <v>124</v>
      </c>
      <c r="C14" s="151" t="s">
        <v>495</v>
      </c>
      <c r="D14" s="125"/>
      <c r="E14" s="122" t="e">
        <f>VLOOKUP(Table257552526910134344464748495657585963151817192245666771727374[[#This Row],[PEG]],Table1016[#All],3,FALSE)</f>
        <v>#N/A</v>
      </c>
    </row>
    <row r="15" spans="1:5">
      <c r="A15" s="114">
        <v>8</v>
      </c>
      <c r="B15" s="110" t="s">
        <v>115</v>
      </c>
      <c r="C15" s="105" t="str">
        <f>VLOOKUP(Table257552526910134344464748495657585963151817192245666771727374[[#This Row],[PEG]],Table1016[#All],2,FALSE)</f>
        <v>0200-1.wav To get started, what is your account number?</v>
      </c>
      <c r="D15" s="112">
        <v>200</v>
      </c>
      <c r="E15" s="122" t="str">
        <f>VLOOKUP(Table257552526910134344464748495657585963151817192245666771727374[[#This Row],[PEG]],Table1016[#All],3,FALSE)</f>
        <v>MENU PROMPT</v>
      </c>
    </row>
    <row r="16" spans="1:5">
      <c r="A16" s="114">
        <v>9</v>
      </c>
      <c r="B16" s="110" t="s">
        <v>114</v>
      </c>
      <c r="C16" s="151" t="s">
        <v>515</v>
      </c>
      <c r="D16" s="112"/>
      <c r="E16" s="122" t="e">
        <f>VLOOKUP(Table257552526910134344464748495657585963151817192245666771727374[[#This Row],[PEG]],Table1016[#All],3,FALSE)</f>
        <v>#N/A</v>
      </c>
    </row>
    <row r="17" spans="1:5">
      <c r="A17" s="114">
        <v>10</v>
      </c>
      <c r="B17" s="110" t="s">
        <v>115</v>
      </c>
      <c r="C17" s="105" t="str">
        <f>VLOOKUP(Table257552526910134344464748495657585963151817192245666771727374[[#This Row],[PEG]],Table1016[#All],2,FALSE)</f>
        <v>0210-1.wav And the date of birth for the primary owner?</v>
      </c>
      <c r="D17" s="113">
        <v>210</v>
      </c>
      <c r="E17" s="122" t="str">
        <f>VLOOKUP(Table257552526910134344464748495657585963151817192245666771727374[[#This Row],[PEG]],Table1016[#All],3,FALSE)</f>
        <v>MENU PROMPT</v>
      </c>
    </row>
    <row r="18" spans="1:5">
      <c r="A18" s="114">
        <v>11</v>
      </c>
      <c r="B18" s="110" t="s">
        <v>124</v>
      </c>
      <c r="C18" s="151" t="s">
        <v>524</v>
      </c>
      <c r="D18" s="113"/>
      <c r="E18" s="122" t="e">
        <f>VLOOKUP(Table257552526910134344464748495657585963151817192245666771727374[[#This Row],[PEG]],Table1016[#All],3,FALSE)</f>
        <v>#N/A</v>
      </c>
    </row>
    <row r="19" spans="1:5" ht="30">
      <c r="A19" s="114">
        <v>12</v>
      </c>
      <c r="B19" s="110" t="s">
        <v>115</v>
      </c>
      <c r="C19" s="105" t="str">
        <f>VLOOKUP(Table257552526910134344464748495657585963151817192245666771727374[[#This Row],[PEG]],Table1016[#All],2,FALSE)</f>
        <v>0450-1.wav Your current amount due is [amount] which includes a loan payment of [amount] for contract number(s) [xxxxxxxxxx] and an assessment balance of [amount]. Would you like to make a payment today?</v>
      </c>
      <c r="D19" s="113">
        <v>450</v>
      </c>
      <c r="E19" s="122" t="str">
        <f>VLOOKUP(Table257552526910134344464748495657585963151817192245666771727374[[#This Row],[PEG]],Table1016[#All],3,FALSE)</f>
        <v>MENU PROMPT</v>
      </c>
    </row>
    <row r="20" spans="1:5">
      <c r="A20" s="114">
        <v>13</v>
      </c>
      <c r="B20" s="110" t="s">
        <v>124</v>
      </c>
      <c r="C20" s="151" t="s">
        <v>584</v>
      </c>
      <c r="D20" s="113"/>
      <c r="E20" s="122" t="e">
        <f>VLOOKUP(Table257552526910134344464748495657585963151817192245666771727374[[#This Row],[PEG]],Table1016[#All],3,FALSE)</f>
        <v>#N/A</v>
      </c>
    </row>
    <row r="21" spans="1:5">
      <c r="A21" s="114">
        <v>14</v>
      </c>
      <c r="B21" s="110" t="s">
        <v>115</v>
      </c>
      <c r="C21" s="105" t="str">
        <f>VLOOKUP(Table257552526910134344464748495657585963151817192245666771727374[[#This Row],[PEG]],Table1016[#All],2,FALSE)</f>
        <v>0930.wav Is there anything else I can help you with today? You can say main menu or simply hang up.</v>
      </c>
      <c r="D21" s="113">
        <v>930</v>
      </c>
      <c r="E21" s="122" t="str">
        <f>VLOOKUP(Table257552526910134344464748495657585963151817192245666771727374[[#This Row],[PEG]],Table1016[#All],3,FALSE)</f>
        <v>MENU PROMPT</v>
      </c>
    </row>
    <row r="22" spans="1:5">
      <c r="A22" s="114">
        <v>15</v>
      </c>
      <c r="B22" s="110" t="s">
        <v>124</v>
      </c>
      <c r="C22" s="151" t="s">
        <v>501</v>
      </c>
      <c r="D22" s="113"/>
      <c r="E22" s="122" t="e">
        <f>VLOOKUP(Table257552526910134344464748495657585963151817192245666771727374[[#This Row],[PEG]],Table1016[#All],3,FALSE)</f>
        <v>#N/A</v>
      </c>
    </row>
    <row r="23" spans="1:5">
      <c r="A23" s="114">
        <v>16</v>
      </c>
      <c r="B23" s="110" t="s">
        <v>115</v>
      </c>
      <c r="C23" s="105" t="str">
        <f>VLOOKUP(Table257552526910134344464748495657585963151817192245666771727374[[#This Row],[PEG]],Table1016[#All],2,FALSE)</f>
        <v>0900.wav Please hold, while I connect you to a customer service representative.</v>
      </c>
      <c r="D23" s="113">
        <v>900</v>
      </c>
      <c r="E23" s="122" t="str">
        <f>VLOOKUP(Table257552526910134344464748495657585963151817192245666771727374[[#This Row],[PEG]],Table1016[#All],3,FALSE)</f>
        <v>PLAY PROMPT</v>
      </c>
    </row>
    <row r="24" spans="1:5">
      <c r="A24" s="114">
        <v>17</v>
      </c>
      <c r="B24" s="110" t="s">
        <v>115</v>
      </c>
      <c r="C24" s="105" t="str">
        <f>VLOOKUP(Table257552526910134344464748495657585963151817192245666771727374[[#This Row],[PEG]],Table1016[#All],2,FALSE)</f>
        <v>XferNbr.wav Transfer Number &lt;TransferNbr&gt;</v>
      </c>
      <c r="D24" s="113" t="s">
        <v>480</v>
      </c>
      <c r="E24" s="122" t="str">
        <f>VLOOKUP(Table257552526910134344464748495657585963151817192245666771727374[[#This Row],[PEG]],Table1016[#All],3,FALSE)</f>
        <v>TEST</v>
      </c>
    </row>
    <row r="25" spans="1:5">
      <c r="A25" s="114">
        <v>18</v>
      </c>
      <c r="B25" s="110" t="s">
        <v>13</v>
      </c>
      <c r="C25" s="17" t="s">
        <v>13</v>
      </c>
      <c r="D25" s="111"/>
      <c r="E25" s="31"/>
    </row>
    <row r="26" spans="1:5">
      <c r="C26" s="25"/>
      <c r="D26" s="107" t="s">
        <v>0</v>
      </c>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5"/>
    </row>
    <row r="39" spans="3:3">
      <c r="C39" s="25"/>
    </row>
    <row r="40" spans="3:3">
      <c r="C40" s="25"/>
    </row>
    <row r="41" spans="3:3">
      <c r="C41" s="26"/>
    </row>
    <row r="42" spans="3:3">
      <c r="C42" s="26"/>
    </row>
    <row r="43" spans="3:3">
      <c r="C43" s="26"/>
    </row>
  </sheetData>
  <mergeCells count="1">
    <mergeCell ref="A1:B1"/>
  </mergeCells>
  <conditionalFormatting sqref="B19:B25">
    <cfRule type="containsText" dxfId="5248" priority="45" operator="containsText" text="Hear">
      <formula>NOT(ISERROR(SEARCH("Hear",B19)))</formula>
    </cfRule>
  </conditionalFormatting>
  <conditionalFormatting sqref="E25">
    <cfRule type="containsText" dxfId="5247" priority="43" operator="containsText" text="WEB SERVICE">
      <formula>NOT(ISERROR(SEARCH("WEB SERVICE",E25)))</formula>
    </cfRule>
    <cfRule type="containsText" dxfId="5246" priority="44" operator="containsText" text="DB">
      <formula>NOT(ISERROR(SEARCH("DB",E25)))</formula>
    </cfRule>
  </conditionalFormatting>
  <conditionalFormatting sqref="C25:C9982">
    <cfRule type="expression" dxfId="5245" priority="46">
      <formula>$B25="Dial"</formula>
    </cfRule>
    <cfRule type="expression" dxfId="5244" priority="48">
      <formula>$B25="HANGUP"</formula>
    </cfRule>
  </conditionalFormatting>
  <conditionalFormatting sqref="C25">
    <cfRule type="expression" dxfId="5243" priority="47">
      <formula>$B25="Speak"</formula>
    </cfRule>
  </conditionalFormatting>
  <conditionalFormatting sqref="B8">
    <cfRule type="containsText" dxfId="5242" priority="9" operator="containsText" text="Hear">
      <formula>NOT(ISERROR(SEARCH("Hear",B8)))</formula>
    </cfRule>
  </conditionalFormatting>
  <conditionalFormatting sqref="B9:B18">
    <cfRule type="containsText" dxfId="5241" priority="7" operator="containsText" text="Hear">
      <formula>NOT(ISERROR(SEARCH("Hear",B9)))</formula>
    </cfRule>
  </conditionalFormatting>
  <hyperlinks>
    <hyperlink ref="A1" location="'Test Case Overview'!A1" display="Return to Test Case Overview" xr:uid="{00000000-0004-0000-2D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42" id="{A6DDF28C-84D4-469D-AECA-7B1C0D5748C7}">
            <xm:f>'TC1'!$B8="HANGUP"</xm:f>
            <x14:dxf>
              <font>
                <b/>
                <i val="0"/>
              </font>
            </x14:dxf>
          </x14:cfRule>
          <x14:cfRule type="expression" priority="50" id="{087506D4-68D7-4F70-9410-D0A8EDB0D7B8}">
            <xm:f>'TC1'!$B8="Dial"</xm:f>
            <x14:dxf>
              <font>
                <b/>
                <i val="0"/>
                <color rgb="FFFF0000"/>
              </font>
            </x14:dxf>
          </x14:cfRule>
          <xm:sqref>C8</xm:sqref>
        </x14:conditionalFormatting>
        <x14:conditionalFormatting xmlns:xm="http://schemas.microsoft.com/office/excel/2006/main">
          <x14:cfRule type="expression" priority="51" id="{66A826D0-2F3C-4830-923B-5A9D23DB468C}">
            <xm:f>'TC1'!$B8="Speak"</xm:f>
            <x14:dxf>
              <font>
                <b/>
                <i val="0"/>
                <color rgb="FFFF0000"/>
              </font>
            </x14:dxf>
          </x14:cfRule>
          <xm:sqref>C8</xm:sqref>
        </x14:conditionalFormatting>
        <x14:conditionalFormatting xmlns:xm="http://schemas.microsoft.com/office/excel/2006/main">
          <x14:cfRule type="containsText" priority="31" operator="containsText" text="DB" id="{5BD76BFB-5ECC-4D79-8F7D-A7350348853F}">
            <xm:f>NOT(ISERROR(SEARCH("DB",'TC1'!E10)))</xm:f>
            <x14:dxf>
              <font>
                <color rgb="FF006100"/>
              </font>
              <fill>
                <patternFill>
                  <bgColor rgb="FFC6EFCE"/>
                </patternFill>
              </fill>
            </x14:dxf>
          </x14:cfRule>
          <x14:cfRule type="containsText" priority="52" operator="containsText" text="WEB SERVICE" id="{2AD9D8CC-C476-4E4A-A7F1-233BB0422393}">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176" id="{A6DDF28C-84D4-469D-AECA-7B1C0D5748C7}">
            <xm:f>'TC1'!#REF!="HANGUP"</xm:f>
            <x14:dxf>
              <font>
                <b/>
                <i val="0"/>
              </font>
            </x14:dxf>
          </x14:cfRule>
          <x14:cfRule type="expression" priority="1177" id="{087506D4-68D7-4F70-9410-D0A8EDB0D7B8}">
            <xm:f>'TC1'!#REF!="Dial"</xm:f>
            <x14:dxf>
              <font>
                <b/>
                <i val="0"/>
                <color rgb="FFFF0000"/>
              </font>
            </x14:dxf>
          </x14:cfRule>
          <xm:sqref>C13:C15 C17 C19:C24</xm:sqref>
        </x14:conditionalFormatting>
        <x14:conditionalFormatting xmlns:xm="http://schemas.microsoft.com/office/excel/2006/main">
          <x14:cfRule type="expression" priority="1182" id="{66A826D0-2F3C-4830-923B-5A9D23DB468C}">
            <xm:f>'TC1'!#REF!="Speak"</xm:f>
            <x14:dxf>
              <font>
                <b/>
                <i val="0"/>
                <color rgb="FFFF0000"/>
              </font>
            </x14:dxf>
          </x14:cfRule>
          <xm:sqref>C13:C15 C17 C19:C24</xm:sqref>
        </x14:conditionalFormatting>
        <x14:conditionalFormatting xmlns:xm="http://schemas.microsoft.com/office/excel/2006/main">
          <x14:cfRule type="containsText" priority="1188" operator="containsText" text="DB" id="{5BD76BFB-5ECC-4D79-8F7D-A7350348853F}">
            <xm:f>NOT(ISERROR(SEARCH("DB",'TC1'!#REF!)))</xm:f>
            <x14:dxf>
              <font>
                <color rgb="FF006100"/>
              </font>
              <fill>
                <patternFill>
                  <bgColor rgb="FFC6EFCE"/>
                </patternFill>
              </fill>
            </x14:dxf>
          </x14:cfRule>
          <x14:cfRule type="containsText" priority="1189" operator="containsText" text="WEB SERVICE" id="{2AD9D8CC-C476-4E4A-A7F1-233BB0422393}">
            <xm:f>NOT(ISERROR(SEARCH("WEB SERVICE",'TC1'!#REF!)))</xm:f>
            <x14:dxf>
              <font>
                <color rgb="FF9C0006"/>
              </font>
              <fill>
                <patternFill>
                  <bgColor rgb="FFFFC7CE"/>
                </patternFill>
              </fill>
            </x14:dxf>
          </x14:cfRule>
          <xm:sqref>E13:E24</xm:sqref>
        </x14:conditionalFormatting>
        <x14:conditionalFormatting xmlns:xm="http://schemas.microsoft.com/office/excel/2006/main">
          <x14:cfRule type="expression" priority="3726" id="{A6DDF28C-84D4-469D-AECA-7B1C0D5748C7}">
            <xm:f>'TC1'!$B10="HANGUP"</xm:f>
            <x14:dxf>
              <font>
                <b/>
                <i val="0"/>
              </font>
            </x14:dxf>
          </x14:cfRule>
          <x14:cfRule type="expression" priority="3727" id="{087506D4-68D7-4F70-9410-D0A8EDB0D7B8}">
            <xm:f>'TC1'!$B10="Dial"</xm:f>
            <x14:dxf>
              <font>
                <b/>
                <i val="0"/>
                <color rgb="FFFF0000"/>
              </font>
            </x14:dxf>
          </x14:cfRule>
          <xm:sqref>C9:C12</xm:sqref>
        </x14:conditionalFormatting>
        <x14:conditionalFormatting xmlns:xm="http://schemas.microsoft.com/office/excel/2006/main">
          <x14:cfRule type="expression" priority="3729" id="{66A826D0-2F3C-4830-923B-5A9D23DB468C}">
            <xm:f>'TC1'!$B10="Speak"</xm:f>
            <x14:dxf>
              <font>
                <b/>
                <i val="0"/>
                <color rgb="FFFF0000"/>
              </font>
            </x14:dxf>
          </x14:cfRule>
          <xm:sqref>C9:C12</xm:sqref>
        </x14:conditionalFormatting>
        <x14:conditionalFormatting xmlns:xm="http://schemas.microsoft.com/office/excel/2006/main">
          <x14:cfRule type="expression" priority="4" id="{1F53320E-FBC7-4BAC-AD4A-3E0A7ADBA6EE}">
            <xm:f>'\Users\deannah\Wyndham Testing\[Wyndham Destinations_TestCaseOverview_V3_Template.xlsx]TC1'!#REF!="HANGUP"</xm:f>
            <x14:dxf>
              <font>
                <b/>
                <i val="0"/>
              </font>
            </x14:dxf>
          </x14:cfRule>
          <x14:cfRule type="expression" priority="5" id="{ED83154A-A736-47FC-9871-A5C2FD512874}">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6" id="{2B642255-C29B-4A30-A8F7-8B4B7D4A331E}">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1" id="{5E663271-52FA-415B-9893-95033D203A9C}">
            <xm:f>'\Users\deannah\Wyndham Testing\[Wyndham Destinations_TestCaseOverview_V3_Template.xlsx]TC1'!#REF!="HANGUP"</xm:f>
            <x14:dxf>
              <font>
                <b/>
                <i val="0"/>
              </font>
            </x14:dxf>
          </x14:cfRule>
          <x14:cfRule type="expression" priority="2" id="{7D76F7C1-7F6C-4790-802B-34B1BF822585}">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3" id="{93E3DE71-C824-4138-9492-6A2122CC9ABC}">
            <xm:f>'\Users\deannah\Wyndham Testing\[Wyndham Destinations_TestCaseOverview_V3_Template.xlsx]TC1'!#REF!="Speak"</xm:f>
            <x14:dxf>
              <font>
                <b/>
                <i val="0"/>
                <color rgb="FFFF0000"/>
              </font>
            </x14:dxf>
          </x14:cfRule>
          <xm:sqref>C18</xm:sqref>
        </x14:conditionalFormatting>
      </x14:conditionalFormatting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dimension ref="A1:E37"/>
  <sheetViews>
    <sheetView zoomScaleNormal="100" workbookViewId="0">
      <selection activeCell="B9" sqref="B9:B23"/>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TC46</v>
      </c>
    </row>
    <row r="3" spans="1:5">
      <c r="A3" s="100" t="s">
        <v>19</v>
      </c>
      <c r="B3" s="108">
        <f ca="1">VLOOKUP(B2,Table1[#All],2,FALSE)</f>
        <v>0</v>
      </c>
    </row>
    <row r="4" spans="1:5" ht="30">
      <c r="A4" s="109" t="s">
        <v>20</v>
      </c>
      <c r="B4" s="95">
        <f ca="1">VLOOKUP(B2,Table1[#All],4,FALSE)</f>
        <v>0</v>
      </c>
    </row>
    <row r="5" spans="1:5" ht="60">
      <c r="A5" s="100" t="s">
        <v>6</v>
      </c>
      <c r="B5" s="89" t="str">
        <f ca="1">VLOOKUP(B2,Table1[#All],3,FALSE)</f>
        <v>Wrap Menu/MM: CallStart Main Menu /Title /CheckStatus/ID Auth=True/Yes to copy of conf ltr/Say MainMenu to anything else today/hear MM</v>
      </c>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VLOOKUP(Table25755252691013434446474849565758596315181719224566677172737476[[#This Row],[PEG]],Table1016[#All],2,FALSE)</f>
        <v>CallID.wav Call ID &lt;CallID&gt;</v>
      </c>
      <c r="D9" s="149" t="s">
        <v>477</v>
      </c>
      <c r="E9" s="122" t="str">
        <f>VLOOKUP(Table25755252691013434446474849565758596315181719224566677172737476[[#This Row],[PEG]],Table1016[#All],3,FALSE)</f>
        <v>TEST</v>
      </c>
    </row>
    <row r="10" spans="1:5" ht="30">
      <c r="A10" s="114">
        <v>3</v>
      </c>
      <c r="B10" s="110" t="s">
        <v>115</v>
      </c>
      <c r="C10" s="105" t="str">
        <f>VLOOKUP(Table25755252691013434446474849565758596315181719224566677172737476[[#This Row],[PEG]],Table1016[#All],2,FALSE)</f>
        <v>0100.wav Thank you for calling Shell vacations Club, we are glad you called. Please have your account number available for faster service. [To continue in Spanish, press 9]</v>
      </c>
      <c r="D10" s="149">
        <v>100</v>
      </c>
      <c r="E10" s="122" t="str">
        <f>VLOOKUP(Table25755252691013434446474849565758596315181719224566677172737476[[#This Row],[PEG]],Table1016[#All],3,FALSE)</f>
        <v>PLAY PROMPT</v>
      </c>
    </row>
    <row r="11" spans="1:5" ht="30">
      <c r="A11" s="114">
        <v>4</v>
      </c>
      <c r="B11" s="110" t="s">
        <v>115</v>
      </c>
      <c r="C11" s="105" t="str">
        <f>VLOOKUP(Table25755252691013434446474849565758596315181719224566677172737476[[#This Row],[PEG]],Table1016[#All],2,FALSE)</f>
        <v>0110-1.wav Which would you like? You can say... reservations, payments &amp; statements, title &amp; ownership changes, or more options.</v>
      </c>
      <c r="D11" s="149">
        <v>110</v>
      </c>
      <c r="E11" s="122" t="str">
        <f>VLOOKUP(Table25755252691013434446474849565758596315181719224566677172737476[[#This Row],[PEG]],Table1016[#All],3,FALSE)</f>
        <v>MENU PROMPT</v>
      </c>
    </row>
    <row r="12" spans="1:5">
      <c r="A12" s="114">
        <v>5</v>
      </c>
      <c r="B12" s="110" t="s">
        <v>124</v>
      </c>
      <c r="C12" s="158" t="s">
        <v>2</v>
      </c>
      <c r="D12" s="149"/>
      <c r="E12" s="122" t="e">
        <f>VLOOKUP(Table25755252691013434446474849565758596315181719224566677172737476[[#This Row],[PEG]],Table1016[#All],3,FALSE)</f>
        <v>#N/A</v>
      </c>
    </row>
    <row r="13" spans="1:5" ht="30">
      <c r="A13" s="114">
        <v>6</v>
      </c>
      <c r="B13" s="110" t="s">
        <v>115</v>
      </c>
      <c r="C13" s="105" t="str">
        <f>VLOOKUP(Table25755252691013434446474849565758596315181719224566677172737476[[#This Row],[PEG]],Table1016[#All],2,FALSE)</f>
        <v>0300-1.wav You can say ownership changes, check status, make a payment, or help me with something else. Which would you like?</v>
      </c>
      <c r="D13" s="149">
        <v>300</v>
      </c>
      <c r="E13" s="122" t="str">
        <f>VLOOKUP(Table25755252691013434446474849565758596315181719224566677172737476[[#This Row],[PEG]],Table1016[#All],3,FALSE)</f>
        <v>MENU PROMPT</v>
      </c>
    </row>
    <row r="14" spans="1:5">
      <c r="A14" s="114">
        <v>7</v>
      </c>
      <c r="B14" s="110" t="s">
        <v>124</v>
      </c>
      <c r="C14" s="151" t="s">
        <v>492</v>
      </c>
      <c r="D14" s="125"/>
      <c r="E14" s="122" t="e">
        <f>VLOOKUP(Table25755252691013434446474849565758596315181719224566677172737476[[#This Row],[PEG]],Table1016[#All],3,FALSE)</f>
        <v>#N/A</v>
      </c>
    </row>
    <row r="15" spans="1:5">
      <c r="A15" s="114">
        <v>8</v>
      </c>
      <c r="B15" s="110" t="s">
        <v>115</v>
      </c>
      <c r="C15" s="105" t="str">
        <f>VLOOKUP(Table25755252691013434446474849565758596315181719224566677172737476[[#This Row],[PEG]],Table1016[#All],2,FALSE)</f>
        <v>0200-1.wav To get started, what is your account number?</v>
      </c>
      <c r="D15" s="112">
        <v>200</v>
      </c>
      <c r="E15" s="122" t="str">
        <f>VLOOKUP(Table25755252691013434446474849565758596315181719224566677172737476[[#This Row],[PEG]],Table1016[#All],3,FALSE)</f>
        <v>MENU PROMPT</v>
      </c>
    </row>
    <row r="16" spans="1:5">
      <c r="A16" s="114">
        <v>9</v>
      </c>
      <c r="B16" s="110" t="s">
        <v>114</v>
      </c>
      <c r="C16" s="151" t="s">
        <v>515</v>
      </c>
      <c r="D16" s="112"/>
      <c r="E16" s="122" t="e">
        <f>VLOOKUP(Table25755252691013434446474849565758596315181719224566677172737476[[#This Row],[PEG]],Table1016[#All],3,FALSE)</f>
        <v>#N/A</v>
      </c>
    </row>
    <row r="17" spans="1:5">
      <c r="A17" s="114">
        <v>10</v>
      </c>
      <c r="B17" s="110" t="s">
        <v>12</v>
      </c>
      <c r="C17" s="105" t="str">
        <f>VLOOKUP(Table25755252691013434446474849565758596315181719224566677172737476[[#This Row],[PEG]],Table1016[#All],2,FALSE)</f>
        <v>0210-1.wav And the date of birth for the primary owner?</v>
      </c>
      <c r="D17" s="113">
        <v>210</v>
      </c>
      <c r="E17" s="122" t="str">
        <f>VLOOKUP(Table25755252691013434446474849565758596315181719224566677172737476[[#This Row],[PEG]],Table1016[#All],3,FALSE)</f>
        <v>MENU PROMPT</v>
      </c>
    </row>
    <row r="18" spans="1:5">
      <c r="A18" s="114">
        <v>11</v>
      </c>
      <c r="B18" s="110" t="s">
        <v>124</v>
      </c>
      <c r="C18" s="151" t="s">
        <v>524</v>
      </c>
      <c r="D18" s="113"/>
      <c r="E18" s="122" t="e">
        <f>VLOOKUP(Table25755252691013434446474849565758596315181719224566677172737476[[#This Row],[PEG]],Table1016[#All],3,FALSE)</f>
        <v>#N/A</v>
      </c>
    </row>
    <row r="19" spans="1:5" ht="30">
      <c r="A19" s="114">
        <v>12</v>
      </c>
      <c r="B19" s="110" t="s">
        <v>115</v>
      </c>
      <c r="C19" s="105" t="str">
        <f>VLOOKUP(Table25755252691013434446474849565758596315181719224566677172737476[[#This Row],[PEG]],Table1016[#All],2,FALSE)</f>
        <v>0310-1.wav Your request to transfer ownership was processed on &lt;date&gt;. Would you like me to send you a copy of the confirmation letter? &lt;pause&gt; If you would like to speak with someone, just say "representative."</v>
      </c>
      <c r="D19" s="113">
        <v>310</v>
      </c>
      <c r="E19" s="122" t="str">
        <f>VLOOKUP(Table25755252691013434446474849565758596315181719224566677172737476[[#This Row],[PEG]],Table1016[#All],3,FALSE)</f>
        <v>PLAY PROMPT</v>
      </c>
    </row>
    <row r="20" spans="1:5">
      <c r="A20" s="114">
        <v>13</v>
      </c>
      <c r="B20" s="110" t="s">
        <v>124</v>
      </c>
      <c r="C20" s="151" t="s">
        <v>582</v>
      </c>
      <c r="D20" s="113"/>
      <c r="E20" s="122" t="e">
        <f>VLOOKUP(Table25755252691013434446474849565758596315181719224566677172737476[[#This Row],[PEG]],Table1016[#All],3,FALSE)</f>
        <v>#N/A</v>
      </c>
    </row>
    <row r="21" spans="1:5" ht="30">
      <c r="A21" s="114">
        <v>14</v>
      </c>
      <c r="B21" s="110" t="s">
        <v>115</v>
      </c>
      <c r="C21" s="105" t="str">
        <f>VLOOKUP(Table25755252691013434446474849565758596315181719224566677172737476[[#This Row],[PEG]],Table1016[#All],2,FALSE)</f>
        <v>0920.wav I've processed your request. Is there anything else I can help you with today? You can say main menu or simply hang up.</v>
      </c>
      <c r="D21" s="113">
        <v>920</v>
      </c>
      <c r="E21" s="122" t="str">
        <f>VLOOKUP(Table25755252691013434446474849565758596315181719224566677172737476[[#This Row],[PEG]],Table1016[#All],3,FALSE)</f>
        <v>MENU PROMPT</v>
      </c>
    </row>
    <row r="22" spans="1:5">
      <c r="A22" s="114">
        <v>15</v>
      </c>
      <c r="B22" s="110" t="s">
        <v>124</v>
      </c>
      <c r="C22" s="151" t="s">
        <v>595</v>
      </c>
      <c r="D22" s="113"/>
      <c r="E22" s="122" t="e">
        <f>VLOOKUP(Table25755252691013434446474849565758596315181719224566677172737476[[#This Row],[PEG]],Table1016[#All],3,FALSE)</f>
        <v>#N/A</v>
      </c>
    </row>
    <row r="23" spans="1:5" ht="30">
      <c r="A23" s="114">
        <v>16</v>
      </c>
      <c r="B23" s="110" t="s">
        <v>115</v>
      </c>
      <c r="C23" s="105" t="str">
        <f>VLOOKUP(Table25755252691013434446474849565758596315181719224566677172737476[[#This Row],[PEG]],Table1016[#All],2,FALSE)</f>
        <v>0110-1.wav Which would you like? You can say... reservations, payments &amp; statements, title &amp; ownership changes, or more options.</v>
      </c>
      <c r="D23" s="113">
        <v>110</v>
      </c>
      <c r="E23" s="122" t="str">
        <f>VLOOKUP(Table25755252691013434446474849565758596315181719224566677172737476[[#This Row],[PEG]],Table1016[#All],3,FALSE)</f>
        <v>MENU PROMPT</v>
      </c>
    </row>
    <row r="24" spans="1:5">
      <c r="A24" s="114">
        <v>17</v>
      </c>
      <c r="B24" s="110" t="s">
        <v>13</v>
      </c>
      <c r="C24" s="17" t="s">
        <v>13</v>
      </c>
      <c r="D24" s="111"/>
      <c r="E24" s="31"/>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6"/>
    </row>
    <row r="36" spans="3:3">
      <c r="C36" s="26"/>
    </row>
    <row r="37" spans="3:3">
      <c r="C37" s="26"/>
    </row>
  </sheetData>
  <mergeCells count="1">
    <mergeCell ref="A1:B1"/>
  </mergeCells>
  <conditionalFormatting sqref="C25:C9976">
    <cfRule type="expression" dxfId="5212" priority="65">
      <formula>$B25="Dial"</formula>
    </cfRule>
    <cfRule type="expression" dxfId="5211" priority="67">
      <formula>$B25="HANGUP"</formula>
    </cfRule>
  </conditionalFormatting>
  <conditionalFormatting sqref="B8">
    <cfRule type="containsText" dxfId="5210" priority="10" operator="containsText" text="Hear">
      <formula>NOT(ISERROR(SEARCH("Hear",B8)))</formula>
    </cfRule>
  </conditionalFormatting>
  <conditionalFormatting sqref="B24">
    <cfRule type="containsText" dxfId="5209" priority="19" operator="containsText" text="Hear">
      <formula>NOT(ISERROR(SEARCH("Hear",B24)))</formula>
    </cfRule>
  </conditionalFormatting>
  <conditionalFormatting sqref="E24">
    <cfRule type="containsText" dxfId="5208" priority="17" operator="containsText" text="WEB SERVICE">
      <formula>NOT(ISERROR(SEARCH("WEB SERVICE",E24)))</formula>
    </cfRule>
    <cfRule type="containsText" dxfId="5207" priority="18" operator="containsText" text="DB">
      <formula>NOT(ISERROR(SEARCH("DB",E24)))</formula>
    </cfRule>
  </conditionalFormatting>
  <conditionalFormatting sqref="C24">
    <cfRule type="expression" dxfId="5206" priority="20">
      <formula>$B24="Dial"</formula>
    </cfRule>
    <cfRule type="expression" dxfId="5205" priority="22">
      <formula>$B24="HANGUP"</formula>
    </cfRule>
  </conditionalFormatting>
  <conditionalFormatting sqref="C24">
    <cfRule type="expression" dxfId="5204" priority="21">
      <formula>$B24="Speak"</formula>
    </cfRule>
  </conditionalFormatting>
  <conditionalFormatting sqref="B23">
    <cfRule type="containsText" dxfId="5203" priority="9" operator="containsText" text="Hear">
      <formula>NOT(ISERROR(SEARCH("Hear",B23)))</formula>
    </cfRule>
  </conditionalFormatting>
  <conditionalFormatting sqref="B20:B22">
    <cfRule type="containsText" dxfId="5202" priority="8" operator="containsText" text="Hear">
      <formula>NOT(ISERROR(SEARCH("Hear",B20)))</formula>
    </cfRule>
  </conditionalFormatting>
  <conditionalFormatting sqref="B9:B19">
    <cfRule type="containsText" dxfId="5201" priority="7" operator="containsText" text="Hear">
      <formula>NOT(ISERROR(SEARCH("Hear",B9)))</formula>
    </cfRule>
  </conditionalFormatting>
  <hyperlinks>
    <hyperlink ref="A1" location="'Test Case Overview'!A1" display="Return to Test Case Overview" xr:uid="{00000000-0004-0000-2E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9" id="{9BA17270-A071-44EA-BF54-990864824E06}">
            <xm:f>'TC1'!$B8="HANGUP"</xm:f>
            <x14:dxf>
              <font>
                <b/>
                <i val="0"/>
              </font>
            </x14:dxf>
          </x14:cfRule>
          <x14:cfRule type="expression" priority="37" id="{02893396-AB60-49FB-8C00-03388B735369}">
            <xm:f>'TC1'!$B8="Dial"</xm:f>
            <x14:dxf>
              <font>
                <b/>
                <i val="0"/>
                <color rgb="FFFF0000"/>
              </font>
            </x14:dxf>
          </x14:cfRule>
          <xm:sqref>C8</xm:sqref>
        </x14:conditionalFormatting>
        <x14:conditionalFormatting xmlns:xm="http://schemas.microsoft.com/office/excel/2006/main">
          <x14:cfRule type="expression" priority="38" id="{0EFBAC56-8DEB-474E-80E1-0918260CAD22}">
            <xm:f>'TC1'!$B8="Speak"</xm:f>
            <x14:dxf>
              <font>
                <b/>
                <i val="0"/>
                <color rgb="FFFF0000"/>
              </font>
            </x14:dxf>
          </x14:cfRule>
          <xm:sqref>C8</xm:sqref>
        </x14:conditionalFormatting>
        <x14:conditionalFormatting xmlns:xm="http://schemas.microsoft.com/office/excel/2006/main">
          <x14:cfRule type="containsText" priority="39" operator="containsText" text="WEB SERVICE" id="{B66947C8-1704-4A5D-ADEE-5B09C200F939}">
            <xm:f>NOT(ISERROR(SEARCH("WEB SERVICE",'TC1'!E10)))</xm:f>
            <x14:dxf>
              <font>
                <color rgb="FF9C0006"/>
              </font>
              <fill>
                <patternFill>
                  <bgColor rgb="FFFFC7CE"/>
                </patternFill>
              </fill>
            </x14:dxf>
          </x14:cfRule>
          <x14:cfRule type="containsText" priority="68" operator="containsText" text="DB" id="{B83F9C2B-D3F9-427D-9FB6-73D2B631A18B}">
            <xm:f>NOT(ISERROR(SEARCH("DB",'TC1'!E10)))</xm:f>
            <x14:dxf>
              <font>
                <color rgb="FF006100"/>
              </font>
              <fill>
                <patternFill>
                  <bgColor rgb="FFC6EFCE"/>
                </patternFill>
              </fill>
            </x14:dxf>
          </x14:cfRule>
          <xm:sqref>E9:E12</xm:sqref>
        </x14:conditionalFormatting>
        <x14:conditionalFormatting xmlns:xm="http://schemas.microsoft.com/office/excel/2006/main">
          <x14:cfRule type="expression" priority="1197" id="{9BA17270-A071-44EA-BF54-990864824E06}">
            <xm:f>'TC1'!#REF!="HANGUP"</xm:f>
            <x14:dxf>
              <font>
                <b/>
                <i val="0"/>
              </font>
            </x14:dxf>
          </x14:cfRule>
          <x14:cfRule type="expression" priority="1198" id="{02893396-AB60-49FB-8C00-03388B735369}">
            <xm:f>'TC1'!#REF!="Dial"</xm:f>
            <x14:dxf>
              <font>
                <b/>
                <i val="0"/>
                <color rgb="FFFF0000"/>
              </font>
            </x14:dxf>
          </x14:cfRule>
          <xm:sqref>C13:C15 C17 C19:C23</xm:sqref>
        </x14:conditionalFormatting>
        <x14:conditionalFormatting xmlns:xm="http://schemas.microsoft.com/office/excel/2006/main">
          <x14:cfRule type="expression" priority="1203" id="{0EFBAC56-8DEB-474E-80E1-0918260CAD22}">
            <xm:f>'TC1'!#REF!="Speak"</xm:f>
            <x14:dxf>
              <font>
                <b/>
                <i val="0"/>
                <color rgb="FFFF0000"/>
              </font>
            </x14:dxf>
          </x14:cfRule>
          <xm:sqref>C13:C15 C17 C19:C23</xm:sqref>
        </x14:conditionalFormatting>
        <x14:conditionalFormatting xmlns:xm="http://schemas.microsoft.com/office/excel/2006/main">
          <x14:cfRule type="containsText" priority="1209" operator="containsText" text="WEB SERVICE" id="{B66947C8-1704-4A5D-ADEE-5B09C200F939}">
            <xm:f>NOT(ISERROR(SEARCH("WEB SERVICE",'TC1'!#REF!)))</xm:f>
            <x14:dxf>
              <font>
                <color rgb="FF9C0006"/>
              </font>
              <fill>
                <patternFill>
                  <bgColor rgb="FFFFC7CE"/>
                </patternFill>
              </fill>
            </x14:dxf>
          </x14:cfRule>
          <x14:cfRule type="containsText" priority="1210" operator="containsText" text="DB" id="{B83F9C2B-D3F9-427D-9FB6-73D2B631A18B}">
            <xm:f>NOT(ISERROR(SEARCH("DB",'TC1'!#REF!)))</xm:f>
            <x14:dxf>
              <font>
                <color rgb="FF006100"/>
              </font>
              <fill>
                <patternFill>
                  <bgColor rgb="FFC6EFCE"/>
                </patternFill>
              </fill>
            </x14:dxf>
          </x14:cfRule>
          <xm:sqref>E13:E23</xm:sqref>
        </x14:conditionalFormatting>
        <x14:conditionalFormatting xmlns:xm="http://schemas.microsoft.com/office/excel/2006/main">
          <x14:cfRule type="expression" priority="3735" id="{9BA17270-A071-44EA-BF54-990864824E06}">
            <xm:f>'TC1'!$B10="HANGUP"</xm:f>
            <x14:dxf>
              <font>
                <b/>
                <i val="0"/>
              </font>
            </x14:dxf>
          </x14:cfRule>
          <x14:cfRule type="expression" priority="3736" id="{02893396-AB60-49FB-8C00-03388B735369}">
            <xm:f>'TC1'!$B10="Dial"</xm:f>
            <x14:dxf>
              <font>
                <b/>
                <i val="0"/>
                <color rgb="FFFF0000"/>
              </font>
            </x14:dxf>
          </x14:cfRule>
          <xm:sqref>C9:C12</xm:sqref>
        </x14:conditionalFormatting>
        <x14:conditionalFormatting xmlns:xm="http://schemas.microsoft.com/office/excel/2006/main">
          <x14:cfRule type="expression" priority="3738" id="{0EFBAC56-8DEB-474E-80E1-0918260CAD22}">
            <xm:f>'TC1'!$B10="Speak"</xm:f>
            <x14:dxf>
              <font>
                <b/>
                <i val="0"/>
                <color rgb="FFFF0000"/>
              </font>
            </x14:dxf>
          </x14:cfRule>
          <xm:sqref>C9:C12</xm:sqref>
        </x14:conditionalFormatting>
        <x14:conditionalFormatting xmlns:xm="http://schemas.microsoft.com/office/excel/2006/main">
          <x14:cfRule type="expression" priority="4" id="{4D3A1925-C8AB-42D5-B9B3-F3F51739D10F}">
            <xm:f>'\Users\deannah\Wyndham Testing\[Wyndham Destinations_TestCaseOverview_V3_Template.xlsx]TC1'!#REF!="HANGUP"</xm:f>
            <x14:dxf>
              <font>
                <b/>
                <i val="0"/>
              </font>
            </x14:dxf>
          </x14:cfRule>
          <x14:cfRule type="expression" priority="5" id="{34885E02-5985-4BD1-9A5C-332C723A6C46}">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6" id="{FA7A964A-40B1-49E0-931B-2925D59B1996}">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1" id="{33660C95-CF63-46A5-8D5D-B9C52C885CA4}">
            <xm:f>'\Users\deannah\Wyndham Testing\[Wyndham Destinations_TestCaseOverview_V3_Template.xlsx]TC1'!#REF!="HANGUP"</xm:f>
            <x14:dxf>
              <font>
                <b/>
                <i val="0"/>
              </font>
            </x14:dxf>
          </x14:cfRule>
          <x14:cfRule type="expression" priority="2" id="{03E0D712-9DA3-42ED-AE85-44BDFDB02562}">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3" id="{4D7302D8-E0F1-4077-92E8-D2A879604306}">
            <xm:f>'\Users\deannah\Wyndham Testing\[Wyndham Destinations_TestCaseOverview_V3_Template.xlsx]TC1'!#REF!="Speak"</xm:f>
            <x14:dxf>
              <font>
                <b/>
                <i val="0"/>
                <color rgb="FFFF0000"/>
              </font>
            </x14:dxf>
          </x14:cfRule>
          <xm:sqref>C18</xm:sqref>
        </x14:conditionalFormatting>
      </x14:conditionalFormatting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9"/>
  <dimension ref="A1:E43"/>
  <sheetViews>
    <sheetView zoomScaleNormal="100" workbookViewId="0">
      <selection activeCell="C33" sqref="C33"/>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TC47</v>
      </c>
    </row>
    <row r="3" spans="1:5">
      <c r="A3" s="100" t="s">
        <v>19</v>
      </c>
      <c r="B3" s="108">
        <f ca="1">VLOOKUP(B2,Table1[#All],2,FALSE)</f>
        <v>0</v>
      </c>
    </row>
    <row r="4" spans="1:5" ht="30">
      <c r="A4" s="109" t="s">
        <v>20</v>
      </c>
      <c r="B4" s="95">
        <f ca="1">VLOOKUP(B2,Table1[#All],4,FALSE)</f>
        <v>0</v>
      </c>
    </row>
    <row r="5" spans="1:5" ht="60">
      <c r="A5" s="100" t="s">
        <v>6</v>
      </c>
      <c r="B5" s="89" t="str">
        <f ca="1">VLOOKUP(B2,Table1[#All],3,FALSE)</f>
        <v>Wrap Menu/Bye:CallStart Main Menu /Title /CheckStatus/ID Auth=True/Yes to copy of conf ltr/Say no to anything else today/ Hear BYE msg</v>
      </c>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VLOOKUP(Table25755252691013434446474849565758596315181719224566677172737483[[#This Row],[PEG]],Table1016[#All],2,FALSE)</f>
        <v>CallID.wav Call ID &lt;CallID&gt;</v>
      </c>
      <c r="D9" s="149" t="s">
        <v>477</v>
      </c>
      <c r="E9" s="122" t="str">
        <f>VLOOKUP(Table25755252691013434446474849565758596315181719224566677172737483[[#This Row],[PEG]],Table1016[#All],3,FALSE)</f>
        <v>TEST</v>
      </c>
    </row>
    <row r="10" spans="1:5" ht="30">
      <c r="A10" s="114">
        <v>3</v>
      </c>
      <c r="B10" s="110" t="s">
        <v>115</v>
      </c>
      <c r="C10" s="105" t="str">
        <f>VLOOKUP(Table25755252691013434446474849565758596315181719224566677172737483[[#This Row],[PEG]],Table1016[#All],2,FALSE)</f>
        <v>0100.wav Thank you for calling Shell vacations Club, we are glad you called. Please have your account number available for faster service. [To continue in Spanish, press 9]</v>
      </c>
      <c r="D10" s="149">
        <v>100</v>
      </c>
      <c r="E10" s="122" t="str">
        <f>VLOOKUP(Table25755252691013434446474849565758596315181719224566677172737483[[#This Row],[PEG]],Table1016[#All],3,FALSE)</f>
        <v>PLAY PROMPT</v>
      </c>
    </row>
    <row r="11" spans="1:5" ht="30">
      <c r="A11" s="114">
        <v>4</v>
      </c>
      <c r="B11" s="110" t="s">
        <v>115</v>
      </c>
      <c r="C11" s="105" t="str">
        <f>VLOOKUP(Table25755252691013434446474849565758596315181719224566677172737483[[#This Row],[PEG]],Table1016[#All],2,FALSE)</f>
        <v>0110-1.wav Which would you like? You can say... reservations, payments &amp; statements, title &amp; ownership changes, or more options.</v>
      </c>
      <c r="D11" s="149">
        <v>110</v>
      </c>
      <c r="E11" s="122" t="str">
        <f>VLOOKUP(Table25755252691013434446474849565758596315181719224566677172737483[[#This Row],[PEG]],Table1016[#All],3,FALSE)</f>
        <v>MENU PROMPT</v>
      </c>
    </row>
    <row r="12" spans="1:5">
      <c r="A12" s="114">
        <v>5</v>
      </c>
      <c r="B12" s="110" t="s">
        <v>124</v>
      </c>
      <c r="C12" s="158" t="s">
        <v>2</v>
      </c>
      <c r="D12" s="149"/>
      <c r="E12" s="122" t="e">
        <f>VLOOKUP(Table25755252691013434446474849565758596315181719224566677172737483[[#This Row],[PEG]],Table1016[#All],3,FALSE)</f>
        <v>#N/A</v>
      </c>
    </row>
    <row r="13" spans="1:5" ht="30">
      <c r="A13" s="114">
        <v>6</v>
      </c>
      <c r="B13" s="110" t="s">
        <v>115</v>
      </c>
      <c r="C13" s="105" t="str">
        <f>VLOOKUP(Table25755252691013434446474849565758596315181719224566677172737483[[#This Row],[PEG]],Table1016[#All],2,FALSE)</f>
        <v>0300-1.wav You can say ownership changes, check status, make a payment, or help me with something else. Which would you like?</v>
      </c>
      <c r="D13" s="149">
        <v>300</v>
      </c>
      <c r="E13" s="122" t="str">
        <f>VLOOKUP(Table25755252691013434446474849565758596315181719224566677172737483[[#This Row],[PEG]],Table1016[#All],3,FALSE)</f>
        <v>MENU PROMPT</v>
      </c>
    </row>
    <row r="14" spans="1:5">
      <c r="A14" s="114">
        <v>7</v>
      </c>
      <c r="B14" s="110" t="s">
        <v>124</v>
      </c>
      <c r="C14" s="151" t="s">
        <v>492</v>
      </c>
      <c r="D14" s="125"/>
      <c r="E14" s="122" t="e">
        <f>VLOOKUP(Table25755252691013434446474849565758596315181719224566677172737483[[#This Row],[PEG]],Table1016[#All],3,FALSE)</f>
        <v>#N/A</v>
      </c>
    </row>
    <row r="15" spans="1:5">
      <c r="A15" s="114">
        <v>8</v>
      </c>
      <c r="B15" s="110" t="s">
        <v>115</v>
      </c>
      <c r="C15" s="105" t="str">
        <f>VLOOKUP(Table25755252691013434446474849565758596315181719224566677172737483[[#This Row],[PEG]],Table1016[#All],2,FALSE)</f>
        <v>0200-1.wav To get started, what is your account number?</v>
      </c>
      <c r="D15" s="112">
        <v>200</v>
      </c>
      <c r="E15" s="122" t="str">
        <f>VLOOKUP(Table25755252691013434446474849565758596315181719224566677172737483[[#This Row],[PEG]],Table1016[#All],3,FALSE)</f>
        <v>MENU PROMPT</v>
      </c>
    </row>
    <row r="16" spans="1:5">
      <c r="A16" s="114">
        <v>9</v>
      </c>
      <c r="B16" s="110" t="s">
        <v>114</v>
      </c>
      <c r="C16" s="151" t="s">
        <v>515</v>
      </c>
      <c r="D16" s="112"/>
      <c r="E16" s="122" t="e">
        <f>VLOOKUP(Table25755252691013434446474849565758596315181719224566677172737483[[#This Row],[PEG]],Table1016[#All],3,FALSE)</f>
        <v>#N/A</v>
      </c>
    </row>
    <row r="17" spans="1:5">
      <c r="A17" s="114">
        <v>10</v>
      </c>
      <c r="B17" s="110" t="s">
        <v>12</v>
      </c>
      <c r="C17" s="105" t="str">
        <f>VLOOKUP(Table25755252691013434446474849565758596315181719224566677172737483[[#This Row],[PEG]],Table1016[#All],2,FALSE)</f>
        <v>0210-1.wav And the date of birth for the primary owner?</v>
      </c>
      <c r="D17" s="113">
        <v>210</v>
      </c>
      <c r="E17" s="122" t="str">
        <f>VLOOKUP(Table25755252691013434446474849565758596315181719224566677172737483[[#This Row],[PEG]],Table1016[#All],3,FALSE)</f>
        <v>MENU PROMPT</v>
      </c>
    </row>
    <row r="18" spans="1:5">
      <c r="A18" s="114">
        <v>11</v>
      </c>
      <c r="B18" s="110" t="s">
        <v>124</v>
      </c>
      <c r="C18" s="151" t="s">
        <v>524</v>
      </c>
      <c r="D18" s="113"/>
      <c r="E18" s="122" t="e">
        <f>VLOOKUP(Table25755252691013434446474849565758596315181719224566677172737483[[#This Row],[PEG]],Table1016[#All],3,FALSE)</f>
        <v>#N/A</v>
      </c>
    </row>
    <row r="19" spans="1:5" ht="30">
      <c r="A19" s="114">
        <v>12</v>
      </c>
      <c r="B19" s="110" t="s">
        <v>115</v>
      </c>
      <c r="C19" s="105" t="str">
        <f>VLOOKUP(Table25755252691013434446474849565758596315181719224566677172737483[[#This Row],[PEG]],Table1016[#All],2,FALSE)</f>
        <v>0310-1.wav Your request to transfer ownership was processed on &lt;date&gt;. Would you like me to send you a copy of the confirmation letter? &lt;pause&gt; If you would like to speak with someone, just say "representative."</v>
      </c>
      <c r="D19" s="113">
        <v>310</v>
      </c>
      <c r="E19" s="122" t="str">
        <f>VLOOKUP(Table25755252691013434446474849565758596315181719224566677172737483[[#This Row],[PEG]],Table1016[#All],3,FALSE)</f>
        <v>PLAY PROMPT</v>
      </c>
    </row>
    <row r="20" spans="1:5">
      <c r="A20" s="114">
        <v>13</v>
      </c>
      <c r="B20" s="110" t="s">
        <v>124</v>
      </c>
      <c r="C20" s="151" t="s">
        <v>582</v>
      </c>
      <c r="D20" s="113"/>
      <c r="E20" s="122" t="e">
        <f>VLOOKUP(Table25755252691013434446474849565758596315181719224566677172737483[[#This Row],[PEG]],Table1016[#All],3,FALSE)</f>
        <v>#N/A</v>
      </c>
    </row>
    <row r="21" spans="1:5" ht="30">
      <c r="A21" s="114">
        <v>14</v>
      </c>
      <c r="B21" s="110" t="s">
        <v>115</v>
      </c>
      <c r="C21" s="105" t="str">
        <f>VLOOKUP(Table25755252691013434446474849565758596315181719224566677172737483[[#This Row],[PEG]],Table1016[#All],2,FALSE)</f>
        <v>0920.wav I've processed your request. Is there anything else I can help you with today? You can say main menu or simply hang up.</v>
      </c>
      <c r="D21" s="113">
        <v>920</v>
      </c>
      <c r="E21" s="122" t="str">
        <f>VLOOKUP(Table25755252691013434446474849565758596315181719224566677172737483[[#This Row],[PEG]],Table1016[#All],3,FALSE)</f>
        <v>MENU PROMPT</v>
      </c>
    </row>
    <row r="22" spans="1:5">
      <c r="A22" s="114">
        <v>15</v>
      </c>
      <c r="B22" s="110" t="s">
        <v>124</v>
      </c>
      <c r="C22" s="151" t="s">
        <v>584</v>
      </c>
      <c r="D22" s="113"/>
      <c r="E22" s="122" t="e">
        <f>VLOOKUP(Table25755252691013434446474849565758596315181719224566677172737483[[#This Row],[PEG]],Table1016[#All],3,FALSE)</f>
        <v>#N/A</v>
      </c>
    </row>
    <row r="23" spans="1:5">
      <c r="A23" s="114">
        <v>16</v>
      </c>
      <c r="B23" s="110" t="s">
        <v>115</v>
      </c>
      <c r="C23" s="105" t="str">
        <f>VLOOKUP(Table25755252691013434446474849565758596315181719224566677172737483[[#This Row],[PEG]],Table1016[#All],2,FALSE)</f>
        <v>0910.wav Thank you for calling Wyndham. Goodbye.</v>
      </c>
      <c r="D23" s="113">
        <v>910</v>
      </c>
      <c r="E23" s="122" t="str">
        <f>VLOOKUP(Table25755252691013434446474849565758596315181719224566677172737483[[#This Row],[PEG]],Table1016[#All],3,FALSE)</f>
        <v>PLAY PROMPT</v>
      </c>
    </row>
    <row r="24" spans="1:5">
      <c r="A24" s="114">
        <v>17</v>
      </c>
      <c r="B24" s="110" t="s">
        <v>115</v>
      </c>
      <c r="C24" s="105" t="s">
        <v>598</v>
      </c>
      <c r="D24" s="113"/>
      <c r="E24" s="122" t="e">
        <f>VLOOKUP(Table25755252691013434446474849565758596315181719224566677172737483[[#This Row],[PEG]],Table1016[#All],3,FALSE)</f>
        <v>#N/A</v>
      </c>
    </row>
    <row r="25" spans="1:5">
      <c r="A25" s="114">
        <v>18</v>
      </c>
      <c r="B25" s="110" t="s">
        <v>13</v>
      </c>
      <c r="C25" s="17" t="s">
        <v>13</v>
      </c>
      <c r="D25" s="111"/>
      <c r="E25" s="31"/>
    </row>
    <row r="26" spans="1:5">
      <c r="C26" s="25"/>
      <c r="D26" s="107" t="s">
        <v>0</v>
      </c>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5"/>
    </row>
    <row r="39" spans="3:3">
      <c r="C39" s="25"/>
    </row>
    <row r="40" spans="3:3">
      <c r="C40" s="25"/>
    </row>
    <row r="41" spans="3:3">
      <c r="C41" s="26"/>
    </row>
    <row r="42" spans="3:3">
      <c r="C42" s="26"/>
    </row>
    <row r="43" spans="3:3">
      <c r="C43" s="26"/>
    </row>
  </sheetData>
  <mergeCells count="1">
    <mergeCell ref="A1:B1"/>
  </mergeCells>
  <conditionalFormatting sqref="C26:C9982">
    <cfRule type="expression" dxfId="5172" priority="76">
      <formula>$B26="Dial"</formula>
    </cfRule>
    <cfRule type="expression" dxfId="5171" priority="78">
      <formula>$B26="HANGUP"</formula>
    </cfRule>
  </conditionalFormatting>
  <conditionalFormatting sqref="B8">
    <cfRule type="containsText" dxfId="5170" priority="10" operator="containsText" text="Hear">
      <formula>NOT(ISERROR(SEARCH("Hear",B8)))</formula>
    </cfRule>
  </conditionalFormatting>
  <conditionalFormatting sqref="B24:B25">
    <cfRule type="containsText" dxfId="5169" priority="19" operator="containsText" text="Hear">
      <formula>NOT(ISERROR(SEARCH("Hear",B24)))</formula>
    </cfRule>
  </conditionalFormatting>
  <conditionalFormatting sqref="E25">
    <cfRule type="containsText" dxfId="5168" priority="17" operator="containsText" text="WEB SERVICE">
      <formula>NOT(ISERROR(SEARCH("WEB SERVICE",E25)))</formula>
    </cfRule>
    <cfRule type="containsText" dxfId="5167" priority="18" operator="containsText" text="DB">
      <formula>NOT(ISERROR(SEARCH("DB",E25)))</formula>
    </cfRule>
  </conditionalFormatting>
  <conditionalFormatting sqref="C25">
    <cfRule type="expression" dxfId="5166" priority="20">
      <formula>$B25="Dial"</formula>
    </cfRule>
    <cfRule type="expression" dxfId="5165" priority="22">
      <formula>$B25="HANGUP"</formula>
    </cfRule>
  </conditionalFormatting>
  <conditionalFormatting sqref="C25">
    <cfRule type="expression" dxfId="5164" priority="21">
      <formula>$B25="Speak"</formula>
    </cfRule>
  </conditionalFormatting>
  <conditionalFormatting sqref="B23">
    <cfRule type="containsText" dxfId="5163" priority="9" operator="containsText" text="Hear">
      <formula>NOT(ISERROR(SEARCH("Hear",B23)))</formula>
    </cfRule>
  </conditionalFormatting>
  <conditionalFormatting sqref="B20:B22">
    <cfRule type="containsText" dxfId="5162" priority="8" operator="containsText" text="Hear">
      <formula>NOT(ISERROR(SEARCH("Hear",B20)))</formula>
    </cfRule>
  </conditionalFormatting>
  <conditionalFormatting sqref="B9:B19">
    <cfRule type="containsText" dxfId="5161" priority="7" operator="containsText" text="Hear">
      <formula>NOT(ISERROR(SEARCH("Hear",B9)))</formula>
    </cfRule>
  </conditionalFormatting>
  <hyperlinks>
    <hyperlink ref="A1" location="'Test Case Overview'!A1" display="Return to Test Case Overview" xr:uid="{00000000-0004-0000-2F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40" id="{5766109D-0C75-4412-9227-FE58C3E1A7E3}">
            <xm:f>'TC1'!$B8="HANGUP"</xm:f>
            <x14:dxf>
              <font>
                <b/>
                <i val="0"/>
              </font>
            </x14:dxf>
          </x14:cfRule>
          <x14:cfRule type="expression" priority="48" id="{214E2C9E-17EB-4852-B928-3BD2A7DE20E9}">
            <xm:f>'TC1'!$B8="Dial"</xm:f>
            <x14:dxf>
              <font>
                <b/>
                <i val="0"/>
                <color rgb="FFFF0000"/>
              </font>
            </x14:dxf>
          </x14:cfRule>
          <xm:sqref>C8</xm:sqref>
        </x14:conditionalFormatting>
        <x14:conditionalFormatting xmlns:xm="http://schemas.microsoft.com/office/excel/2006/main">
          <x14:cfRule type="expression" priority="49" id="{904702FA-D55E-42A2-92C5-7CCF7ACA3461}">
            <xm:f>'TC1'!$B8="Speak"</xm:f>
            <x14:dxf>
              <font>
                <b/>
                <i val="0"/>
                <color rgb="FFFF0000"/>
              </font>
            </x14:dxf>
          </x14:cfRule>
          <xm:sqref>C8</xm:sqref>
        </x14:conditionalFormatting>
        <x14:conditionalFormatting xmlns:xm="http://schemas.microsoft.com/office/excel/2006/main">
          <x14:cfRule type="containsText" priority="29" operator="containsText" text="DB" id="{7D0EE784-020C-4183-811F-D7461F0279D4}">
            <xm:f>NOT(ISERROR(SEARCH("DB",'TC1'!E10)))</xm:f>
            <x14:dxf>
              <font>
                <color rgb="FF006100"/>
              </font>
              <fill>
                <patternFill>
                  <bgColor rgb="FFC6EFCE"/>
                </patternFill>
              </fill>
            </x14:dxf>
          </x14:cfRule>
          <x14:cfRule type="containsText" priority="50" operator="containsText" text="WEB SERVICE" id="{2BD9D90E-F621-4CE5-8E14-F4A3C4DDA47D}">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217" id="{5766109D-0C75-4412-9227-FE58C3E1A7E3}">
            <xm:f>'TC1'!#REF!="HANGUP"</xm:f>
            <x14:dxf>
              <font>
                <b/>
                <i val="0"/>
              </font>
            </x14:dxf>
          </x14:cfRule>
          <x14:cfRule type="expression" priority="1218" id="{214E2C9E-17EB-4852-B928-3BD2A7DE20E9}">
            <xm:f>'TC1'!#REF!="Dial"</xm:f>
            <x14:dxf>
              <font>
                <b/>
                <i val="0"/>
                <color rgb="FFFF0000"/>
              </font>
            </x14:dxf>
          </x14:cfRule>
          <xm:sqref>C13:C15 C17 C19:C24</xm:sqref>
        </x14:conditionalFormatting>
        <x14:conditionalFormatting xmlns:xm="http://schemas.microsoft.com/office/excel/2006/main">
          <x14:cfRule type="expression" priority="1223" id="{904702FA-D55E-42A2-92C5-7CCF7ACA3461}">
            <xm:f>'TC1'!#REF!="Speak"</xm:f>
            <x14:dxf>
              <font>
                <b/>
                <i val="0"/>
                <color rgb="FFFF0000"/>
              </font>
            </x14:dxf>
          </x14:cfRule>
          <xm:sqref>C13:C15 C17 C19:C24</xm:sqref>
        </x14:conditionalFormatting>
        <x14:conditionalFormatting xmlns:xm="http://schemas.microsoft.com/office/excel/2006/main">
          <x14:cfRule type="containsText" priority="1229" operator="containsText" text="DB" id="{7D0EE784-020C-4183-811F-D7461F0279D4}">
            <xm:f>NOT(ISERROR(SEARCH("DB",'TC1'!#REF!)))</xm:f>
            <x14:dxf>
              <font>
                <color rgb="FF006100"/>
              </font>
              <fill>
                <patternFill>
                  <bgColor rgb="FFC6EFCE"/>
                </patternFill>
              </fill>
            </x14:dxf>
          </x14:cfRule>
          <x14:cfRule type="containsText" priority="1230" operator="containsText" text="WEB SERVICE" id="{2BD9D90E-F621-4CE5-8E14-F4A3C4DDA47D}">
            <xm:f>NOT(ISERROR(SEARCH("WEB SERVICE",'TC1'!#REF!)))</xm:f>
            <x14:dxf>
              <font>
                <color rgb="FF9C0006"/>
              </font>
              <fill>
                <patternFill>
                  <bgColor rgb="FFFFC7CE"/>
                </patternFill>
              </fill>
            </x14:dxf>
          </x14:cfRule>
          <xm:sqref>E13:E24</xm:sqref>
        </x14:conditionalFormatting>
        <x14:conditionalFormatting xmlns:xm="http://schemas.microsoft.com/office/excel/2006/main">
          <x14:cfRule type="expression" priority="3743" id="{5766109D-0C75-4412-9227-FE58C3E1A7E3}">
            <xm:f>'TC1'!$B10="HANGUP"</xm:f>
            <x14:dxf>
              <font>
                <b/>
                <i val="0"/>
              </font>
            </x14:dxf>
          </x14:cfRule>
          <x14:cfRule type="expression" priority="3744" id="{214E2C9E-17EB-4852-B928-3BD2A7DE20E9}">
            <xm:f>'TC1'!$B10="Dial"</xm:f>
            <x14:dxf>
              <font>
                <b/>
                <i val="0"/>
                <color rgb="FFFF0000"/>
              </font>
            </x14:dxf>
          </x14:cfRule>
          <xm:sqref>C9:C12</xm:sqref>
        </x14:conditionalFormatting>
        <x14:conditionalFormatting xmlns:xm="http://schemas.microsoft.com/office/excel/2006/main">
          <x14:cfRule type="expression" priority="3746" id="{904702FA-D55E-42A2-92C5-7CCF7ACA3461}">
            <xm:f>'TC1'!$B10="Speak"</xm:f>
            <x14:dxf>
              <font>
                <b/>
                <i val="0"/>
                <color rgb="FFFF0000"/>
              </font>
            </x14:dxf>
          </x14:cfRule>
          <xm:sqref>C9:C12</xm:sqref>
        </x14:conditionalFormatting>
        <x14:conditionalFormatting xmlns:xm="http://schemas.microsoft.com/office/excel/2006/main">
          <x14:cfRule type="expression" priority="4" id="{7FFBBA07-E2B5-460B-92FF-07DDDBAF0BF4}">
            <xm:f>'\Users\deannah\Wyndham Testing\[Wyndham Destinations_TestCaseOverview_V3_Template.xlsx]TC1'!#REF!="HANGUP"</xm:f>
            <x14:dxf>
              <font>
                <b/>
                <i val="0"/>
              </font>
            </x14:dxf>
          </x14:cfRule>
          <x14:cfRule type="expression" priority="5" id="{A1AEB2E8-A34D-450B-8B53-C5E77379142D}">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6" id="{187B2BB7-DA1F-4B6A-B53E-284173389878}">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1" id="{2D8F6D10-3A8D-42CA-B2E4-2C030C373390}">
            <xm:f>'\Users\deannah\Wyndham Testing\[Wyndham Destinations_TestCaseOverview_V3_Template.xlsx]TC1'!#REF!="HANGUP"</xm:f>
            <x14:dxf>
              <font>
                <b/>
                <i val="0"/>
              </font>
            </x14:dxf>
          </x14:cfRule>
          <x14:cfRule type="expression" priority="2" id="{111481CF-85CE-48B4-868F-985DAD3D8642}">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3" id="{A7E1BCD8-7E53-4BD2-9A0E-7DCF9CB2636B}">
            <xm:f>'\Users\deannah\Wyndham Testing\[Wyndham Destinations_TestCaseOverview_V3_Template.xlsx]TC1'!#REF!="Speak"</xm:f>
            <x14:dxf>
              <font>
                <b/>
                <i val="0"/>
                <color rgb="FFFF0000"/>
              </font>
            </x14:dxf>
          </x14:cfRule>
          <xm:sqref>C18</xm:sqref>
        </x14:conditionalFormatting>
      </x14:conditionalFormatting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0"/>
  <dimension ref="A1:E42"/>
  <sheetViews>
    <sheetView zoomScaleNormal="100" workbookViewId="0">
      <selection activeCell="B28" sqref="B28"/>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TC48</v>
      </c>
    </row>
    <row r="3" spans="1:5">
      <c r="A3" s="100" t="s">
        <v>19</v>
      </c>
      <c r="B3" s="108">
        <f ca="1">VLOOKUP(B2,Table1[#All],2,FALSE)</f>
        <v>0</v>
      </c>
    </row>
    <row r="4" spans="1:5" ht="30">
      <c r="A4" s="109" t="s">
        <v>20</v>
      </c>
      <c r="B4" s="95" t="str">
        <f ca="1">VLOOKUP(B2,Table1[#All],4,FALSE)</f>
        <v>3 or less contracts, Autopay active, has current amt due</v>
      </c>
    </row>
    <row r="5" spans="1:5" ht="90">
      <c r="A5" s="100" t="s">
        <v>6</v>
      </c>
      <c r="B5" s="89" t="str">
        <f ca="1">VLOOKUP(B2,Table1[#All],3,FALSE)</f>
        <v>Wrap Menu2/MM: CallStart Main Menu/Payments/check status/ serviceType=check Status/ID Auth/ID Auth True,Finance Exception code=else/Say No, to make a payment today/Say MM to anything else today/ hear MM</v>
      </c>
    </row>
    <row r="7" spans="1:5" ht="15.75">
      <c r="A7" s="96" t="s">
        <v>7</v>
      </c>
      <c r="B7" s="97" t="s">
        <v>8</v>
      </c>
      <c r="C7" s="98" t="s">
        <v>9</v>
      </c>
      <c r="D7" s="98" t="s">
        <v>14</v>
      </c>
      <c r="E7" s="99" t="s">
        <v>10</v>
      </c>
    </row>
    <row r="8" spans="1:5">
      <c r="A8" s="114">
        <v>1</v>
      </c>
      <c r="B8" s="110" t="s">
        <v>114</v>
      </c>
      <c r="C8" s="105" t="s">
        <v>125</v>
      </c>
      <c r="D8" s="145"/>
      <c r="E8" s="122" t="s">
        <v>11</v>
      </c>
    </row>
    <row r="9" spans="1:5">
      <c r="A9" s="114">
        <v>2</v>
      </c>
      <c r="B9" s="110" t="s">
        <v>115</v>
      </c>
      <c r="C9" s="105" t="str">
        <f>VLOOKUP(Table2575525269101343444647484956575859631518171922456667717273748387[[#This Row],[PEG]],Table1016[#All],2,FALSE)</f>
        <v>CallID.wav Call ID &lt;CallID&gt;</v>
      </c>
      <c r="D9" s="145" t="s">
        <v>477</v>
      </c>
      <c r="E9" s="122" t="str">
        <f>VLOOKUP(Table2575525269101343444647484956575859631518171922456667717273748387[[#This Row],[PEG]],Table1016[#All],3,FALSE)</f>
        <v>TEST</v>
      </c>
    </row>
    <row r="10" spans="1:5" ht="30">
      <c r="A10" s="114">
        <v>3</v>
      </c>
      <c r="B10" s="110" t="s">
        <v>115</v>
      </c>
      <c r="C10" s="105" t="str">
        <f>VLOOKUP(Table2575525269101343444647484956575859631518171922456667717273748387[[#This Row],[PEG]],Table1016[#All],2,FALSE)</f>
        <v>0100.wav Thank you for calling Shell vacations Club, we are glad you called. Please have your account number available for faster service. [To continue in Spanish, press 9]</v>
      </c>
      <c r="D10" s="145">
        <v>100</v>
      </c>
      <c r="E10" s="122" t="str">
        <f>VLOOKUP(Table2575525269101343444647484956575859631518171922456667717273748387[[#This Row],[PEG]],Table1016[#All],3,FALSE)</f>
        <v>PLAY PROMPT</v>
      </c>
    </row>
    <row r="11" spans="1:5" ht="30">
      <c r="A11" s="114">
        <v>4</v>
      </c>
      <c r="B11" s="110" t="s">
        <v>115</v>
      </c>
      <c r="C11" s="105" t="str">
        <f>VLOOKUP(Table2575525269101343444647484956575859631518171922456667717273748387[[#This Row],[PEG]],Table1016[#All],2,FALSE)</f>
        <v>0110-1.wav Which would you like? You can say... reservations, payments &amp; statements, title &amp; ownership changes, or more options.</v>
      </c>
      <c r="D11" s="145">
        <v>110</v>
      </c>
      <c r="E11" s="122" t="str">
        <f>VLOOKUP(Table2575525269101343444647484956575859631518171922456667717273748387[[#This Row],[PEG]],Table1016[#All],3,FALSE)</f>
        <v>MENU PROMPT</v>
      </c>
    </row>
    <row r="12" spans="1:5">
      <c r="A12" s="114">
        <v>5</v>
      </c>
      <c r="B12" s="110" t="s">
        <v>124</v>
      </c>
      <c r="C12" s="158" t="s">
        <v>2</v>
      </c>
      <c r="D12" s="145"/>
      <c r="E12" s="122" t="e">
        <f>VLOOKUP(Table2575525269101343444647484956575859631518171922456667717273748387[[#This Row],[PEG]],Table1016[#All],3,FALSE)</f>
        <v>#N/A</v>
      </c>
    </row>
    <row r="13" spans="1:5" ht="30">
      <c r="A13" s="114">
        <v>6</v>
      </c>
      <c r="B13" s="110" t="s">
        <v>115</v>
      </c>
      <c r="C13" s="105" t="str">
        <f>VLOOKUP(Table2575525269101343444647484956575859631518171922456667717273748387[[#This Row],[PEG]],Table1016[#All],2,FALSE)</f>
        <v>400.wav You can say make a payment, check account status, request a document, or more options. Which would you like?</v>
      </c>
      <c r="D13" s="145">
        <v>400</v>
      </c>
      <c r="E13" s="122" t="str">
        <f>VLOOKUP(Table2575525269101343444647484956575859631518171922456667717273748387[[#This Row],[PEG]],Table1016[#All],3,FALSE)</f>
        <v>MENU PROMPT</v>
      </c>
    </row>
    <row r="14" spans="1:5">
      <c r="A14" s="114">
        <v>7</v>
      </c>
      <c r="B14" s="110" t="s">
        <v>124</v>
      </c>
      <c r="C14" s="151" t="s">
        <v>3</v>
      </c>
      <c r="D14" s="145"/>
      <c r="E14" s="122" t="e">
        <f>VLOOKUP(Table2575525269101343444647484956575859631518171922456667717273748387[[#This Row],[PEG]],Table1016[#All],3,FALSE)</f>
        <v>#N/A</v>
      </c>
    </row>
    <row r="15" spans="1:5">
      <c r="A15" s="114">
        <v>8</v>
      </c>
      <c r="B15" s="110" t="s">
        <v>115</v>
      </c>
      <c r="C15" s="105" t="str">
        <f>VLOOKUP(Table2575525269101343444647484956575859631518171922456667717273748387[[#This Row],[PEG]],Table1016[#All],2,FALSE)</f>
        <v>0200-1.wav To get started, what is your account number?</v>
      </c>
      <c r="D15" s="112">
        <v>200</v>
      </c>
      <c r="E15" s="122" t="str">
        <f>VLOOKUP(Table2575525269101343444647484956575859631518171922456667717273748387[[#This Row],[PEG]],Table1016[#All],3,FALSE)</f>
        <v>MENU PROMPT</v>
      </c>
    </row>
    <row r="16" spans="1:5">
      <c r="A16" s="114">
        <v>9</v>
      </c>
      <c r="B16" s="110" t="s">
        <v>114</v>
      </c>
      <c r="C16" s="151" t="s">
        <v>515</v>
      </c>
      <c r="D16" s="112"/>
      <c r="E16" s="122" t="e">
        <f>VLOOKUP(Table2575525269101343444647484956575859631518171922456667717273748387[[#This Row],[PEG]],Table1016[#All],3,FALSE)</f>
        <v>#N/A</v>
      </c>
    </row>
    <row r="17" spans="1:5">
      <c r="A17" s="114">
        <v>10</v>
      </c>
      <c r="B17" s="110" t="s">
        <v>12</v>
      </c>
      <c r="C17" s="105" t="str">
        <f>VLOOKUP(Table2575525269101343444647484956575859631518171922456667717273748387[[#This Row],[PEG]],Table1016[#All],2,FALSE)</f>
        <v>0210-1.wav And the date of birth for the primary owner?</v>
      </c>
      <c r="D17" s="113">
        <v>210</v>
      </c>
      <c r="E17" s="122" t="str">
        <f>VLOOKUP(Table2575525269101343444647484956575859631518171922456667717273748387[[#This Row],[PEG]],Table1016[#All],3,FALSE)</f>
        <v>MENU PROMPT</v>
      </c>
    </row>
    <row r="18" spans="1:5" ht="25.15" customHeight="1">
      <c r="A18" s="114">
        <v>11</v>
      </c>
      <c r="B18" s="110" t="s">
        <v>124</v>
      </c>
      <c r="C18" s="151" t="s">
        <v>524</v>
      </c>
      <c r="D18" s="113"/>
      <c r="E18" s="122" t="e">
        <f>VLOOKUP(Table2575525269101343444647484956575859631518171922456667717273748387[[#This Row],[PEG]],Table1016[#All],3,FALSE)</f>
        <v>#N/A</v>
      </c>
    </row>
    <row r="19" spans="1:5" ht="30">
      <c r="A19" s="114">
        <v>12</v>
      </c>
      <c r="B19" s="110" t="s">
        <v>115</v>
      </c>
      <c r="C19" s="105" t="str">
        <f>VLOOKUP(Table2575525269101343444647484956575859631518171922456667717273748387[[#This Row],[PEG]],Table1016[#All],2,FALSE)</f>
        <v>0450-1.wav Your current amount due is [amount] which includes a loan payment of [amount] for contract number(s) [xxxxxxxxxx] and an assessment balance of [amount]. Would you like to make a payment today?</v>
      </c>
      <c r="D19" s="113">
        <v>450</v>
      </c>
      <c r="E19" s="122" t="str">
        <f>VLOOKUP(Table2575525269101343444647484956575859631518171922456667717273748387[[#This Row],[PEG]],Table1016[#All],3,FALSE)</f>
        <v>MENU PROMPT</v>
      </c>
    </row>
    <row r="20" spans="1:5">
      <c r="A20" s="114">
        <v>13</v>
      </c>
      <c r="B20" s="110" t="s">
        <v>124</v>
      </c>
      <c r="C20" s="151" t="s">
        <v>584</v>
      </c>
      <c r="D20" s="113"/>
      <c r="E20" s="122" t="e">
        <f>VLOOKUP(Table2575525269101343444647484956575859631518171922456667717273748387[[#This Row],[PEG]],Table1016[#All],3,FALSE)</f>
        <v>#N/A</v>
      </c>
    </row>
    <row r="21" spans="1:5">
      <c r="A21" s="114">
        <v>14</v>
      </c>
      <c r="B21" s="110" t="s">
        <v>115</v>
      </c>
      <c r="C21" s="105" t="str">
        <f>VLOOKUP(Table2575525269101343444647484956575859631518171922456667717273748387[[#This Row],[PEG]],Table1016[#All],2,FALSE)</f>
        <v>0930.wav Is there anything else I can help you with today? You can say main menu or simply hang up.</v>
      </c>
      <c r="D21" s="113">
        <v>930</v>
      </c>
      <c r="E21" s="122" t="str">
        <f>VLOOKUP(Table2575525269101343444647484956575859631518171922456667717273748387[[#This Row],[PEG]],Table1016[#All],3,FALSE)</f>
        <v>MENU PROMPT</v>
      </c>
    </row>
    <row r="22" spans="1:5">
      <c r="A22" s="114">
        <v>15</v>
      </c>
      <c r="B22" s="110" t="s">
        <v>124</v>
      </c>
      <c r="C22" s="151" t="s">
        <v>578</v>
      </c>
      <c r="D22" s="113"/>
      <c r="E22" s="122" t="e">
        <f>VLOOKUP(Table2575525269101343444647484956575859631518171922456667717273748387[[#This Row],[PEG]],Table1016[#All],3,FALSE)</f>
        <v>#N/A</v>
      </c>
    </row>
    <row r="23" spans="1:5" ht="30">
      <c r="A23" s="114">
        <v>16</v>
      </c>
      <c r="B23" s="110" t="s">
        <v>115</v>
      </c>
      <c r="C23" s="105" t="str">
        <f>VLOOKUP(Table2575525269101343444647484956575859631518171922456667717273748387[[#This Row],[PEG]],Table1016[#All],2,FALSE)</f>
        <v>0110-1.wav Which would you like? You can say... reservations, payments &amp; statements, title &amp; ownership changes, or more options.</v>
      </c>
      <c r="D23" s="113">
        <v>110</v>
      </c>
      <c r="E23" s="122" t="str">
        <f>VLOOKUP(Table2575525269101343444647484956575859631518171922456667717273748387[[#This Row],[PEG]],Table1016[#All],3,FALSE)</f>
        <v>MENU PROMPT</v>
      </c>
    </row>
    <row r="24" spans="1:5" s="93" customFormat="1">
      <c r="A24" s="114">
        <v>17</v>
      </c>
      <c r="B24" s="110" t="s">
        <v>13</v>
      </c>
      <c r="C24" s="17" t="s">
        <v>13</v>
      </c>
      <c r="D24" s="111"/>
      <c r="E24" s="31"/>
    </row>
    <row r="25" spans="1:5">
      <c r="C25" s="25"/>
      <c r="D25" s="107" t="s">
        <v>0</v>
      </c>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5"/>
    </row>
    <row r="39" spans="3:3">
      <c r="C39" s="25"/>
    </row>
    <row r="40" spans="3:3">
      <c r="C40" s="26"/>
    </row>
    <row r="41" spans="3:3">
      <c r="C41" s="26"/>
    </row>
    <row r="42" spans="3:3">
      <c r="C42" s="26"/>
    </row>
  </sheetData>
  <mergeCells count="1">
    <mergeCell ref="A1:B1"/>
  </mergeCells>
  <conditionalFormatting sqref="C25:C9981">
    <cfRule type="expression" dxfId="5132" priority="84">
      <formula>$B25="Dial"</formula>
    </cfRule>
    <cfRule type="expression" dxfId="5131" priority="86">
      <formula>$B25="HANGUP"</formula>
    </cfRule>
  </conditionalFormatting>
  <conditionalFormatting sqref="B8:B24">
    <cfRule type="containsText" dxfId="5130" priority="7" operator="containsText" text="Hear">
      <formula>NOT(ISERROR(SEARCH("Hear",B8)))</formula>
    </cfRule>
  </conditionalFormatting>
  <conditionalFormatting sqref="E24">
    <cfRule type="containsText" dxfId="5129" priority="14" operator="containsText" text="WEB SERVICE">
      <formula>NOT(ISERROR(SEARCH("WEB SERVICE",E24)))</formula>
    </cfRule>
    <cfRule type="containsText" dxfId="5128" priority="15" operator="containsText" text="DB">
      <formula>NOT(ISERROR(SEARCH("DB",E24)))</formula>
    </cfRule>
  </conditionalFormatting>
  <conditionalFormatting sqref="C24">
    <cfRule type="expression" dxfId="5127" priority="17">
      <formula>$B24="Dial"</formula>
    </cfRule>
    <cfRule type="expression" dxfId="5126" priority="19">
      <formula>$B24="HANGUP"</formula>
    </cfRule>
  </conditionalFormatting>
  <conditionalFormatting sqref="C24">
    <cfRule type="expression" dxfId="5125" priority="18">
      <formula>$B24="Speak"</formula>
    </cfRule>
  </conditionalFormatting>
  <hyperlinks>
    <hyperlink ref="A1" location="'Test Case Overview'!A1" display="Return to Test Case Overview" xr:uid="{00000000-0004-0000-30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62" id="{B76E457A-7100-4974-8B15-D25AEA8C46CC}">
            <xm:f>'TC1'!$B8="HANGUP"</xm:f>
            <x14:dxf>
              <font>
                <b/>
                <i val="0"/>
              </font>
            </x14:dxf>
          </x14:cfRule>
          <x14:cfRule type="expression" priority="70" id="{D2D7570D-E060-408D-8656-6D1BC8FF805E}">
            <xm:f>'TC1'!$B8="Dial"</xm:f>
            <x14:dxf>
              <font>
                <b/>
                <i val="0"/>
                <color rgb="FFFF0000"/>
              </font>
            </x14:dxf>
          </x14:cfRule>
          <xm:sqref>C8</xm:sqref>
        </x14:conditionalFormatting>
        <x14:conditionalFormatting xmlns:xm="http://schemas.microsoft.com/office/excel/2006/main">
          <x14:cfRule type="expression" priority="71" id="{18EF88F5-DB1C-42B0-8890-9D0AC5D45FC1}">
            <xm:f>'TC1'!$B8="Speak"</xm:f>
            <x14:dxf>
              <font>
                <b/>
                <i val="0"/>
                <color rgb="FFFF0000"/>
              </font>
            </x14:dxf>
          </x14:cfRule>
          <xm:sqref>C8</xm:sqref>
        </x14:conditionalFormatting>
        <x14:conditionalFormatting xmlns:xm="http://schemas.microsoft.com/office/excel/2006/main">
          <x14:cfRule type="containsText" priority="51" operator="containsText" text="DB" id="{6131B6CC-D35F-4D71-9887-0DA1E01A5C7F}">
            <xm:f>NOT(ISERROR(SEARCH("DB",'TC1'!E10)))</xm:f>
            <x14:dxf>
              <font>
                <color rgb="FF006100"/>
              </font>
              <fill>
                <patternFill>
                  <bgColor rgb="FFC6EFCE"/>
                </patternFill>
              </fill>
            </x14:dxf>
          </x14:cfRule>
          <x14:cfRule type="containsText" priority="72" operator="containsText" text="WEB SERVICE" id="{9C021F04-FAAA-4C7F-AD12-B0CE7B4C0531}">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234" id="{B76E457A-7100-4974-8B15-D25AEA8C46CC}">
            <xm:f>'TC1'!#REF!="HANGUP"</xm:f>
            <x14:dxf>
              <font>
                <b/>
                <i val="0"/>
              </font>
            </x14:dxf>
          </x14:cfRule>
          <x14:cfRule type="expression" priority="1235" id="{D2D7570D-E060-408D-8656-6D1BC8FF805E}">
            <xm:f>'TC1'!#REF!="Dial"</xm:f>
            <x14:dxf>
              <font>
                <b/>
                <i val="0"/>
                <color rgb="FFFF0000"/>
              </font>
            </x14:dxf>
          </x14:cfRule>
          <xm:sqref>C13:C15 C17 C19:C23</xm:sqref>
        </x14:conditionalFormatting>
        <x14:conditionalFormatting xmlns:xm="http://schemas.microsoft.com/office/excel/2006/main">
          <x14:cfRule type="expression" priority="1240" id="{18EF88F5-DB1C-42B0-8890-9D0AC5D45FC1}">
            <xm:f>'TC1'!#REF!="Speak"</xm:f>
            <x14:dxf>
              <font>
                <b/>
                <i val="0"/>
                <color rgb="FFFF0000"/>
              </font>
            </x14:dxf>
          </x14:cfRule>
          <xm:sqref>C13:C15 C17 C19:C23</xm:sqref>
        </x14:conditionalFormatting>
        <x14:conditionalFormatting xmlns:xm="http://schemas.microsoft.com/office/excel/2006/main">
          <x14:cfRule type="containsText" priority="1246" operator="containsText" text="DB" id="{6131B6CC-D35F-4D71-9887-0DA1E01A5C7F}">
            <xm:f>NOT(ISERROR(SEARCH("DB",'TC1'!#REF!)))</xm:f>
            <x14:dxf>
              <font>
                <color rgb="FF006100"/>
              </font>
              <fill>
                <patternFill>
                  <bgColor rgb="FFC6EFCE"/>
                </patternFill>
              </fill>
            </x14:dxf>
          </x14:cfRule>
          <x14:cfRule type="containsText" priority="1247" operator="containsText" text="WEB SERVICE" id="{9C021F04-FAAA-4C7F-AD12-B0CE7B4C0531}">
            <xm:f>NOT(ISERROR(SEARCH("WEB SERVICE",'TC1'!#REF!)))</xm:f>
            <x14:dxf>
              <font>
                <color rgb="FF9C0006"/>
              </font>
              <fill>
                <patternFill>
                  <bgColor rgb="FFFFC7CE"/>
                </patternFill>
              </fill>
            </x14:dxf>
          </x14:cfRule>
          <xm:sqref>E13:E23</xm:sqref>
        </x14:conditionalFormatting>
        <x14:conditionalFormatting xmlns:xm="http://schemas.microsoft.com/office/excel/2006/main">
          <x14:cfRule type="expression" priority="3748" id="{B76E457A-7100-4974-8B15-D25AEA8C46CC}">
            <xm:f>'TC1'!$B10="HANGUP"</xm:f>
            <x14:dxf>
              <font>
                <b/>
                <i val="0"/>
              </font>
            </x14:dxf>
          </x14:cfRule>
          <x14:cfRule type="expression" priority="3749" id="{D2D7570D-E060-408D-8656-6D1BC8FF805E}">
            <xm:f>'TC1'!$B10="Dial"</xm:f>
            <x14:dxf>
              <font>
                <b/>
                <i val="0"/>
                <color rgb="FFFF0000"/>
              </font>
            </x14:dxf>
          </x14:cfRule>
          <xm:sqref>C9:C12</xm:sqref>
        </x14:conditionalFormatting>
        <x14:conditionalFormatting xmlns:xm="http://schemas.microsoft.com/office/excel/2006/main">
          <x14:cfRule type="expression" priority="3751" id="{18EF88F5-DB1C-42B0-8890-9D0AC5D45FC1}">
            <xm:f>'TC1'!$B10="Speak"</xm:f>
            <x14:dxf>
              <font>
                <b/>
                <i val="0"/>
                <color rgb="FFFF0000"/>
              </font>
            </x14:dxf>
          </x14:cfRule>
          <xm:sqref>C9:C12</xm:sqref>
        </x14:conditionalFormatting>
        <x14:conditionalFormatting xmlns:xm="http://schemas.microsoft.com/office/excel/2006/main">
          <x14:cfRule type="expression" priority="4" id="{F0AD1147-5A79-4B14-919D-BF5C570CDAB6}">
            <xm:f>'\Users\deannah\Wyndham Testing\[Wyndham Destinations_TestCaseOverview_V3_Template.xlsx]TC1'!#REF!="HANGUP"</xm:f>
            <x14:dxf>
              <font>
                <b/>
                <i val="0"/>
              </font>
            </x14:dxf>
          </x14:cfRule>
          <x14:cfRule type="expression" priority="5" id="{EC643AAD-25C9-44D9-8BFF-0082122040C0}">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6" id="{E6254570-E6B4-4744-99A4-0861FD741EA7}">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1" id="{CFAF4F75-A84A-4863-81A5-4D1C0C848312}">
            <xm:f>'\Users\deannah\Wyndham Testing\[Wyndham Destinations_TestCaseOverview_V3_Template.xlsx]TC1'!#REF!="HANGUP"</xm:f>
            <x14:dxf>
              <font>
                <b/>
                <i val="0"/>
              </font>
            </x14:dxf>
          </x14:cfRule>
          <x14:cfRule type="expression" priority="2" id="{8061AF6B-07C0-42F2-A84F-4272A04E975E}">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3" id="{D805FE96-2AFD-41F6-A20C-4E7C2D7AA79B}">
            <xm:f>'\Users\deannah\Wyndham Testing\[Wyndham Destinations_TestCaseOverview_V3_Template.xlsx]TC1'!#REF!="Speak"</xm:f>
            <x14:dxf>
              <font>
                <b/>
                <i val="0"/>
                <color rgb="FFFF0000"/>
              </font>
            </x14:dxf>
          </x14:cfRule>
          <xm:sqref>C18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E35"/>
  <sheetViews>
    <sheetView zoomScaleNormal="100" workbookViewId="0">
      <selection activeCell="B24" sqref="B24"/>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TC4</v>
      </c>
    </row>
    <row r="3" spans="1:5">
      <c r="A3" s="100" t="s">
        <v>19</v>
      </c>
      <c r="B3" s="108">
        <f ca="1">VLOOKUP(B2,Table1[#All],2,FALSE)</f>
        <v>0</v>
      </c>
    </row>
    <row r="4" spans="1:5" ht="30">
      <c r="A4" s="109" t="s">
        <v>20</v>
      </c>
      <c r="B4" s="95">
        <f ca="1">VLOOKUP(B2,Table1[#All],4,FALSE)</f>
        <v>0</v>
      </c>
    </row>
    <row r="5" spans="1:5" ht="30">
      <c r="A5" s="100" t="s">
        <v>6</v>
      </c>
      <c r="B5" s="89" t="str">
        <f ca="1">VLOOKUP(B2,Table1[#All],3,FALSE)</f>
        <v>CallStart Main Menu More options Points to Xfer</v>
      </c>
    </row>
    <row r="7" spans="1:5" ht="15.75">
      <c r="A7" s="96" t="s">
        <v>7</v>
      </c>
      <c r="B7" s="97" t="s">
        <v>8</v>
      </c>
      <c r="C7" s="98" t="s">
        <v>9</v>
      </c>
      <c r="D7" s="98" t="s">
        <v>14</v>
      </c>
      <c r="E7" s="99" t="s">
        <v>10</v>
      </c>
    </row>
    <row r="8" spans="1:5">
      <c r="A8" s="24">
        <v>1</v>
      </c>
      <c r="B8" s="110" t="s">
        <v>114</v>
      </c>
      <c r="C8" s="124" t="s">
        <v>125</v>
      </c>
      <c r="D8" s="125"/>
      <c r="E8" s="122" t="s">
        <v>11</v>
      </c>
    </row>
    <row r="9" spans="1:5" s="93" customFormat="1">
      <c r="A9" s="24">
        <v>2</v>
      </c>
      <c r="B9" s="110" t="s">
        <v>115</v>
      </c>
      <c r="C9" s="146" t="str">
        <f>VLOOKUP(Table25755252670[[#This Row],[PEG]],Table1016[],2,FALSE)</f>
        <v>CallID.wav Call ID &lt;CallID&gt;</v>
      </c>
      <c r="D9" s="145" t="s">
        <v>477</v>
      </c>
      <c r="E9" s="122"/>
    </row>
    <row r="10" spans="1:5" s="93" customFormat="1" ht="30">
      <c r="A10" s="114">
        <v>3</v>
      </c>
      <c r="B10" s="110" t="s">
        <v>115</v>
      </c>
      <c r="C10" s="105" t="str">
        <f>VLOOKUP(Table257552526911[[#This Row],[PEG]],Table1016[#All],2,FALSE)</f>
        <v>0100.wav Thank you for calling Shell vacations Club, we are glad you called. Please have your account number available for faster service. [To continue in Spanish, press 9]</v>
      </c>
      <c r="D10" s="145">
        <v>100</v>
      </c>
      <c r="E10" s="122" t="str">
        <f>VLOOKUP(Table257552526911[[#This Row],[PEG]],Table1016[#All],3,FALSE)</f>
        <v>PLAY PROMPT</v>
      </c>
    </row>
    <row r="11" spans="1:5" s="93" customFormat="1" ht="30">
      <c r="A11" s="24">
        <v>4</v>
      </c>
      <c r="B11" s="110" t="s">
        <v>115</v>
      </c>
      <c r="C11" s="105" t="str">
        <f>VLOOKUP(Table257552526911[[#This Row],[PEG]],Table1016[#All],2,FALSE)</f>
        <v>0110-1.wav Which would you like? You can say... reservations, payments &amp; statements, title &amp; ownership changes, or more options.</v>
      </c>
      <c r="D11" s="145">
        <v>110</v>
      </c>
      <c r="E11" s="122" t="str">
        <f>VLOOKUP(Table257552526911[[#This Row],[PEG]],Table1016[#All],3,FALSE)</f>
        <v>MENU PROMPT</v>
      </c>
    </row>
    <row r="12" spans="1:5" s="93" customFormat="1">
      <c r="A12" s="24">
        <v>5</v>
      </c>
      <c r="B12" s="110" t="s">
        <v>124</v>
      </c>
      <c r="C12" s="105" t="s">
        <v>468</v>
      </c>
      <c r="D12" s="125"/>
      <c r="E12" s="122" t="e">
        <f>VLOOKUP(Table257552526911[[#This Row],[PEG]],Table1016[#All],3,FALSE)</f>
        <v>#N/A</v>
      </c>
    </row>
    <row r="13" spans="1:5" s="93" customFormat="1" ht="30">
      <c r="A13" s="114">
        <v>6</v>
      </c>
      <c r="B13" s="110" t="s">
        <v>115</v>
      </c>
      <c r="C13" s="105" t="str">
        <f>VLOOKUP(Table257552526911[[#This Row],[PEG]],Table1016[#All],2,FALSE)</f>
        <v>0120-1.wav You can say... Wyndham rewards, points conversion, personal interval choice, or speak to a representative.</v>
      </c>
      <c r="D13" s="145">
        <v>120</v>
      </c>
      <c r="E13" s="122" t="str">
        <f>VLOOKUP(Table257552526911[[#This Row],[PEG]],Table1016[#All],3,FALSE)</f>
        <v>MENU PROMPT</v>
      </c>
    </row>
    <row r="14" spans="1:5" s="93" customFormat="1">
      <c r="A14" s="24">
        <v>7</v>
      </c>
      <c r="B14" s="110" t="s">
        <v>124</v>
      </c>
      <c r="C14" s="105" t="s">
        <v>471</v>
      </c>
      <c r="D14" s="125"/>
      <c r="E14" s="122" t="e">
        <f>VLOOKUP(Table257552526911[[#This Row],[PEG]],Table1016[#All],3,FALSE)</f>
        <v>#N/A</v>
      </c>
    </row>
    <row r="15" spans="1:5" s="93" customFormat="1">
      <c r="A15" s="24">
        <v>8</v>
      </c>
      <c r="B15" s="110" t="s">
        <v>115</v>
      </c>
      <c r="C15" s="105" t="str">
        <f>VLOOKUP(Table257552526911[[#This Row],[PEG]],Table1016[#All],2,FALSE)</f>
        <v>0900.wav Please hold, while I connect you to a customer service representative.</v>
      </c>
      <c r="D15" s="145">
        <v>900</v>
      </c>
      <c r="E15" s="122" t="str">
        <f>VLOOKUP(Table257552526911[[#This Row],[PEG]],Table1016[#All],3,FALSE)</f>
        <v>PLAY PROMPT</v>
      </c>
    </row>
    <row r="16" spans="1:5">
      <c r="A16" s="114">
        <v>9</v>
      </c>
      <c r="B16" s="110" t="s">
        <v>115</v>
      </c>
      <c r="C16" s="105" t="str">
        <f>VLOOKUP(Table257552526911[[#This Row],[PEG]],Table1016[#All],2,FALSE)</f>
        <v>XferNbr.wav Transfer Number &lt;TransferNbr&gt;</v>
      </c>
      <c r="D16" s="112" t="s">
        <v>480</v>
      </c>
      <c r="E16" s="122" t="str">
        <f>VLOOKUP(Table257552526911[[#This Row],[PEG]],Table1016[#All],3,FALSE)</f>
        <v>TEST</v>
      </c>
    </row>
    <row r="17" spans="1:5">
      <c r="A17" s="24">
        <v>10</v>
      </c>
      <c r="B17" s="110" t="s">
        <v>13</v>
      </c>
      <c r="C17" s="105" t="s">
        <v>13</v>
      </c>
      <c r="D17" s="112"/>
      <c r="E17" s="122" t="e">
        <f>VLOOKUP(Table257552526911[[#This Row],[PEG]],Table1016[#All],3,FALSE)</f>
        <v>#N/A</v>
      </c>
    </row>
    <row r="18" spans="1:5">
      <c r="C18" s="25"/>
      <c r="D18" s="107" t="s">
        <v>0</v>
      </c>
    </row>
    <row r="19" spans="1:5">
      <c r="C19" s="25"/>
    </row>
    <row r="20" spans="1:5">
      <c r="C20" s="25"/>
    </row>
    <row r="21" spans="1:5">
      <c r="C21" s="25"/>
    </row>
    <row r="22" spans="1:5">
      <c r="C22" s="25"/>
    </row>
    <row r="23" spans="1:5">
      <c r="C23" s="25"/>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6"/>
    </row>
    <row r="34" spans="3:3">
      <c r="C34" s="26"/>
    </row>
    <row r="35" spans="3:3">
      <c r="C35" s="26"/>
    </row>
  </sheetData>
  <mergeCells count="1">
    <mergeCell ref="A1:B1"/>
  </mergeCells>
  <conditionalFormatting sqref="C18:C9974">
    <cfRule type="expression" dxfId="6604" priority="36">
      <formula>$B18="Dial"</formula>
    </cfRule>
    <cfRule type="expression" dxfId="6603" priority="38">
      <formula>$B18="HANGUP"</formula>
    </cfRule>
  </conditionalFormatting>
  <conditionalFormatting sqref="C8">
    <cfRule type="expression" dxfId="6602" priority="3">
      <formula>$B8="Dial"</formula>
    </cfRule>
    <cfRule type="expression" dxfId="6601" priority="4">
      <formula>$B8="HANGUP"</formula>
    </cfRule>
  </conditionalFormatting>
  <conditionalFormatting sqref="B8:B17">
    <cfRule type="containsText" dxfId="6600" priority="7" operator="containsText" text="Hear">
      <formula>NOT(ISERROR(SEARCH("Hear",B8)))</formula>
    </cfRule>
  </conditionalFormatting>
  <conditionalFormatting sqref="C10:C17">
    <cfRule type="expression" dxfId="6599" priority="8">
      <formula>$B10="Dial"</formula>
    </cfRule>
    <cfRule type="expression" dxfId="6598" priority="10">
      <formula>$B10="HANGUP"</formula>
    </cfRule>
  </conditionalFormatting>
  <conditionalFormatting sqref="C10:C17">
    <cfRule type="expression" dxfId="6597" priority="9">
      <formula>$B10="Speak"</formula>
    </cfRule>
  </conditionalFormatting>
  <conditionalFormatting sqref="C9">
    <cfRule type="expression" dxfId="6596" priority="1">
      <formula>$B9="Dial"</formula>
    </cfRule>
    <cfRule type="expression" dxfId="6595" priority="2">
      <formula>$B9="HANGUP"</formula>
    </cfRule>
  </conditionalFormatting>
  <hyperlinks>
    <hyperlink ref="A1" location="'Test Case Overview'!A1" display="Return to Test Case Overview" xr:uid="{00000000-0004-0000-04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30" operator="containsText" text="WEB SERVICE" id="{203B1A98-5E31-41F3-9495-884B01884263}">
            <xm:f>NOT(ISERROR(SEARCH("WEB SERVICE",'TC1'!E11)))</xm:f>
            <x14:dxf>
              <font>
                <color rgb="FF9C0006"/>
              </font>
              <fill>
                <patternFill>
                  <bgColor rgb="FFFFC7CE"/>
                </patternFill>
              </fill>
            </x14:dxf>
          </x14:cfRule>
          <x14:cfRule type="containsText" priority="31" operator="containsText" text="DB" id="{7BC31631-27A3-4DD4-874B-8DDE003E9E02}">
            <xm:f>NOT(ISERROR(SEARCH("DB",'TC1'!E11)))</xm:f>
            <x14:dxf>
              <font>
                <color rgb="FF006100"/>
              </font>
              <fill>
                <patternFill>
                  <bgColor rgb="FFC6EFCE"/>
                </patternFill>
              </fill>
            </x14:dxf>
          </x14:cfRule>
          <xm:sqref>E10:E12</xm:sqref>
        </x14:conditionalFormatting>
        <x14:conditionalFormatting xmlns:xm="http://schemas.microsoft.com/office/excel/2006/main">
          <x14:cfRule type="containsText" priority="701" operator="containsText" text="WEB SERVICE" id="{203B1A98-5E31-41F3-9495-884B01884263}">
            <xm:f>NOT(ISERROR(SEARCH("WEB SERVICE",'TC1'!#REF!)))</xm:f>
            <x14:dxf>
              <font>
                <color rgb="FF9C0006"/>
              </font>
              <fill>
                <patternFill>
                  <bgColor rgb="FFFFC7CE"/>
                </patternFill>
              </fill>
            </x14:dxf>
          </x14:cfRule>
          <x14:cfRule type="containsText" priority="702" operator="containsText" text="DB" id="{7BC31631-27A3-4DD4-874B-8DDE003E9E02}">
            <xm:f>NOT(ISERROR(SEARCH("DB",'TC1'!#REF!)))</xm:f>
            <x14:dxf>
              <font>
                <color rgb="FF006100"/>
              </font>
              <fill>
                <patternFill>
                  <bgColor rgb="FFC6EFCE"/>
                </patternFill>
              </fill>
            </x14:dxf>
          </x14:cfRule>
          <xm:sqref>E13:E17</xm:sqref>
        </x14:conditionalFormatting>
      </x14:conditionalFormatting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1"/>
  <dimension ref="A1:E43"/>
  <sheetViews>
    <sheetView zoomScaleNormal="100" workbookViewId="0">
      <selection activeCell="A25" sqref="A25"/>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TC49</v>
      </c>
    </row>
    <row r="3" spans="1:5">
      <c r="A3" s="100" t="s">
        <v>19</v>
      </c>
      <c r="B3" s="108">
        <f ca="1">VLOOKUP(B2,Table1[#All],2,FALSE)</f>
        <v>0</v>
      </c>
    </row>
    <row r="4" spans="1:5" ht="30">
      <c r="A4" s="109" t="s">
        <v>20</v>
      </c>
      <c r="B4" s="95" t="str">
        <f ca="1">VLOOKUP(B2,Table1[#All],4,FALSE)</f>
        <v>3 or less contracts, Autopay active, has current amt due</v>
      </c>
    </row>
    <row r="5" spans="1:5" ht="90">
      <c r="A5" s="100" t="s">
        <v>6</v>
      </c>
      <c r="B5" s="89" t="str">
        <f ca="1">VLOOKUP(B2,Table1[#All],3,FALSE)</f>
        <v>Wrap Menu2/Bye:CallStart Main Menu/Title/check status/ serviceType=check Status/ID Auth/ID Auth True,Finance Exception code=else/Say No, to make a payment today/Say No to anything else today/ Hear BYE msg</v>
      </c>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VLOOKUP(Table2575525269101343444647484956575859631518171922456667717273748388[[#This Row],[PEG]],Table1016[#All],2,FALSE)</f>
        <v>CallID.wav Call ID &lt;CallID&gt;</v>
      </c>
      <c r="D9" s="145" t="s">
        <v>477</v>
      </c>
      <c r="E9" s="122" t="str">
        <f>VLOOKUP(Table2575525269101343444647484956575859631518171922456667717273748388[[#This Row],[PEG]],Table1016[#All],3,FALSE)</f>
        <v>TEST</v>
      </c>
    </row>
    <row r="10" spans="1:5" ht="30">
      <c r="A10" s="114">
        <v>3</v>
      </c>
      <c r="B10" s="110" t="s">
        <v>115</v>
      </c>
      <c r="C10" s="105" t="str">
        <f>VLOOKUP(Table2575525269101343444647484956575859631518171922456667717273748388[[#This Row],[PEG]],Table1016[#All],2,FALSE)</f>
        <v>0100.wav Thank you for calling Shell vacations Club, we are glad you called. Please have your account number available for faster service. [To continue in Spanish, press 9]</v>
      </c>
      <c r="D10" s="145">
        <v>100</v>
      </c>
      <c r="E10" s="122" t="str">
        <f>VLOOKUP(Table2575525269101343444647484956575859631518171922456667717273748388[[#This Row],[PEG]],Table1016[#All],3,FALSE)</f>
        <v>PLAY PROMPT</v>
      </c>
    </row>
    <row r="11" spans="1:5" ht="30">
      <c r="A11" s="114">
        <v>4</v>
      </c>
      <c r="B11" s="110" t="s">
        <v>115</v>
      </c>
      <c r="C11" s="105" t="str">
        <f>VLOOKUP(Table2575525269101343444647484956575859631518171922456667717273748388[[#This Row],[PEG]],Table1016[#All],2,FALSE)</f>
        <v>0110-1.wav Which would you like? You can say... reservations, payments &amp; statements, title &amp; ownership changes, or more options.</v>
      </c>
      <c r="D11" s="145">
        <v>110</v>
      </c>
      <c r="E11" s="122" t="str">
        <f>VLOOKUP(Table2575525269101343444647484956575859631518171922456667717273748388[[#This Row],[PEG]],Table1016[#All],3,FALSE)</f>
        <v>MENU PROMPT</v>
      </c>
    </row>
    <row r="12" spans="1:5">
      <c r="A12" s="114">
        <v>5</v>
      </c>
      <c r="B12" s="110" t="s">
        <v>124</v>
      </c>
      <c r="C12" s="105" t="e">
        <f>VLOOKUP(Table2575525269101343444647484956575859631518171922456667717273748388[[#This Row],[PEG]],Table1016[#All],2,FALSE)</f>
        <v>#N/A</v>
      </c>
      <c r="D12" s="145"/>
      <c r="E12" s="122" t="e">
        <f>VLOOKUP(Table2575525269101343444647484956575859631518171922456667717273748388[[#This Row],[PEG]],Table1016[#All],3,FALSE)</f>
        <v>#N/A</v>
      </c>
    </row>
    <row r="13" spans="1:5" ht="30">
      <c r="A13" s="114">
        <v>6</v>
      </c>
      <c r="B13" s="110" t="s">
        <v>115</v>
      </c>
      <c r="C13" s="105" t="str">
        <f>VLOOKUP(Table2575525269101343444647484956575859631518171922456667717273748388[[#This Row],[PEG]],Table1016[#All],2,FALSE)</f>
        <v>400.wav You can say make a payment, check account status, request a document, or more options. Which would you like?</v>
      </c>
      <c r="D13" s="145">
        <v>400</v>
      </c>
      <c r="E13" s="122" t="str">
        <f>VLOOKUP(Table2575525269101343444647484956575859631518171922456667717273748388[[#This Row],[PEG]],Table1016[#All],3,FALSE)</f>
        <v>MENU PROMPT</v>
      </c>
    </row>
    <row r="14" spans="1:5">
      <c r="A14" s="114">
        <v>7</v>
      </c>
      <c r="B14" s="110" t="s">
        <v>124</v>
      </c>
      <c r="C14" s="105" t="e">
        <f>VLOOKUP(Table2575525269101343444647484956575859631518171922456667717273748388[[#This Row],[PEG]],Table1016[#All],2,FALSE)</f>
        <v>#N/A</v>
      </c>
      <c r="D14" s="125"/>
      <c r="E14" s="122" t="e">
        <f>VLOOKUP(Table2575525269101343444647484956575859631518171922456667717273748388[[#This Row],[PEG]],Table1016[#All],3,FALSE)</f>
        <v>#N/A</v>
      </c>
    </row>
    <row r="15" spans="1:5">
      <c r="A15" s="114">
        <v>8</v>
      </c>
      <c r="B15" s="110" t="s">
        <v>115</v>
      </c>
      <c r="C15" s="105" t="str">
        <f>VLOOKUP(Table2575525269101343444647484956575859631518171922456667717273748388[[#This Row],[PEG]],Table1016[#All],2,FALSE)</f>
        <v>0200-1.wav To get started, what is your account number?</v>
      </c>
      <c r="D15" s="112">
        <v>200</v>
      </c>
      <c r="E15" s="122" t="str">
        <f>VLOOKUP(Table2575525269101343444647484956575859631518171922456667717273748388[[#This Row],[PEG]],Table1016[#All],3,FALSE)</f>
        <v>MENU PROMPT</v>
      </c>
    </row>
    <row r="16" spans="1:5">
      <c r="A16" s="114">
        <v>9</v>
      </c>
      <c r="B16" s="110" t="s">
        <v>114</v>
      </c>
      <c r="C16" s="105" t="e">
        <f>VLOOKUP(Table2575525269101343444647484956575859631518171922456667717273748388[[#This Row],[PEG]],Table1016[#All],2,FALSE)</f>
        <v>#N/A</v>
      </c>
      <c r="D16" s="112"/>
      <c r="E16" s="122" t="e">
        <f>VLOOKUP(Table2575525269101343444647484956575859631518171922456667717273748388[[#This Row],[PEG]],Table1016[#All],3,FALSE)</f>
        <v>#N/A</v>
      </c>
    </row>
    <row r="17" spans="1:5">
      <c r="A17" s="114">
        <v>10</v>
      </c>
      <c r="B17" s="110" t="s">
        <v>115</v>
      </c>
      <c r="C17" s="105" t="str">
        <f>VLOOKUP(Table2575525269101343444647484956575859631518171922456667717273748388[[#This Row],[PEG]],Table1016[#All],2,FALSE)</f>
        <v>0210-1.wav And the date of birth for the primary owner?</v>
      </c>
      <c r="D17" s="113">
        <v>210</v>
      </c>
      <c r="E17" s="122" t="str">
        <f>VLOOKUP(Table2575525269101343444647484956575859631518171922456667717273748388[[#This Row],[PEG]],Table1016[#All],3,FALSE)</f>
        <v>MENU PROMPT</v>
      </c>
    </row>
    <row r="18" spans="1:5">
      <c r="A18" s="114">
        <v>11</v>
      </c>
      <c r="B18" s="110" t="s">
        <v>124</v>
      </c>
      <c r="C18" s="105" t="e">
        <f>VLOOKUP(Table2575525269101343444647484956575859631518171922456667717273748388[[#This Row],[PEG]],Table1016[#All],2,FALSE)</f>
        <v>#N/A</v>
      </c>
      <c r="D18" s="113"/>
      <c r="E18" s="122" t="e">
        <f>VLOOKUP(Table2575525269101343444647484956575859631518171922456667717273748388[[#This Row],[PEG]],Table1016[#All],3,FALSE)</f>
        <v>#N/A</v>
      </c>
    </row>
    <row r="19" spans="1:5" ht="30">
      <c r="A19" s="114">
        <v>12</v>
      </c>
      <c r="B19" s="110" t="s">
        <v>115</v>
      </c>
      <c r="C19" s="105" t="str">
        <f>VLOOKUP(Table2575525269101343444647484956575859631518171922456667717273748388[[#This Row],[PEG]],Table1016[#All],2,FALSE)</f>
        <v>0450-1.wav Your current amount due is [amount] which includes a loan payment of [amount] for contract number(s) [xxxxxxxxxx] and an assessment balance of [amount]. Would you like to make a payment today?</v>
      </c>
      <c r="D19" s="113">
        <v>450</v>
      </c>
      <c r="E19" s="122" t="str">
        <f>VLOOKUP(Table2575525269101343444647484956575859631518171922456667717273748388[[#This Row],[PEG]],Table1016[#All],3,FALSE)</f>
        <v>MENU PROMPT</v>
      </c>
    </row>
    <row r="20" spans="1:5">
      <c r="A20" s="114">
        <v>13</v>
      </c>
      <c r="B20" s="110" t="s">
        <v>124</v>
      </c>
      <c r="C20" s="105" t="e">
        <f>VLOOKUP(Table2575525269101343444647484956575859631518171922456667717273748388[[#This Row],[PEG]],Table1016[#All],2,FALSE)</f>
        <v>#N/A</v>
      </c>
      <c r="D20" s="113"/>
      <c r="E20" s="122" t="e">
        <f>VLOOKUP(Table2575525269101343444647484956575859631518171922456667717273748388[[#This Row],[PEG]],Table1016[#All],3,FALSE)</f>
        <v>#N/A</v>
      </c>
    </row>
    <row r="21" spans="1:5">
      <c r="A21" s="114">
        <v>14</v>
      </c>
      <c r="B21" s="110" t="s">
        <v>115</v>
      </c>
      <c r="C21" s="105" t="str">
        <f>VLOOKUP(Table2575525269101343444647484956575859631518171922456667717273748388[[#This Row],[PEG]],Table1016[#All],2,FALSE)</f>
        <v>0930.wav Is there anything else I can help you with today? You can say main menu or simply hang up.</v>
      </c>
      <c r="D21" s="113">
        <v>930</v>
      </c>
      <c r="E21" s="122" t="str">
        <f>VLOOKUP(Table2575525269101343444647484956575859631518171922456667717273748388[[#This Row],[PEG]],Table1016[#All],3,FALSE)</f>
        <v>MENU PROMPT</v>
      </c>
    </row>
    <row r="22" spans="1:5">
      <c r="A22" s="114">
        <v>15</v>
      </c>
      <c r="B22" s="110" t="s">
        <v>124</v>
      </c>
      <c r="C22" s="151" t="s">
        <v>584</v>
      </c>
      <c r="D22" s="113"/>
      <c r="E22" s="122" t="e">
        <f>VLOOKUP(Table2575525269101343444647484956575859631518171922456667717273748388[[#This Row],[PEG]],Table1016[#All],3,FALSE)</f>
        <v>#N/A</v>
      </c>
    </row>
    <row r="23" spans="1:5">
      <c r="A23" s="114">
        <v>16</v>
      </c>
      <c r="B23" s="110" t="s">
        <v>115</v>
      </c>
      <c r="C23" s="105" t="str">
        <f>VLOOKUP(Table2575525269101343444647484956575859631518171922456667717273748388[[#This Row],[PEG]],Table1016[#All],2,FALSE)</f>
        <v>0910.wav Thank you for calling Wyndham. Goodbye.</v>
      </c>
      <c r="D23" s="113">
        <v>910</v>
      </c>
      <c r="E23" s="122" t="str">
        <f>VLOOKUP(Table2575525269101343444647484956575859631518171922456667717273748388[[#This Row],[PEG]],Table1016[#All],3,FALSE)</f>
        <v>PLAY PROMPT</v>
      </c>
    </row>
    <row r="24" spans="1:5">
      <c r="A24" s="114">
        <v>17</v>
      </c>
      <c r="B24" s="110" t="s">
        <v>115</v>
      </c>
      <c r="C24" s="105" t="s">
        <v>598</v>
      </c>
      <c r="D24" s="113"/>
      <c r="E24" s="122" t="e">
        <f>VLOOKUP(Table2575525269101343444647484956575859631518171922456667717273748388[[#This Row],[PEG]],Table1016[#All],3,FALSE)</f>
        <v>#N/A</v>
      </c>
    </row>
    <row r="25" spans="1:5">
      <c r="A25" s="114">
        <v>35</v>
      </c>
      <c r="B25" s="110" t="s">
        <v>13</v>
      </c>
      <c r="C25" s="17" t="s">
        <v>13</v>
      </c>
      <c r="D25" s="111"/>
      <c r="E25" s="31"/>
    </row>
    <row r="26" spans="1:5">
      <c r="C26" s="25"/>
      <c r="D26" s="107" t="s">
        <v>0</v>
      </c>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5"/>
    </row>
    <row r="39" spans="3:3">
      <c r="C39" s="25"/>
    </row>
    <row r="40" spans="3:3">
      <c r="C40" s="25"/>
    </row>
    <row r="41" spans="3:3">
      <c r="C41" s="26"/>
    </row>
    <row r="42" spans="3:3">
      <c r="C42" s="26"/>
    </row>
    <row r="43" spans="3:3">
      <c r="C43" s="26"/>
    </row>
  </sheetData>
  <mergeCells count="1">
    <mergeCell ref="A1:B1"/>
  </mergeCells>
  <conditionalFormatting sqref="C26:C9982">
    <cfRule type="expression" dxfId="5096" priority="29">
      <formula>$B26="Dial"</formula>
    </cfRule>
    <cfRule type="expression" dxfId="5095" priority="31">
      <formula>$B26="HANGUP"</formula>
    </cfRule>
  </conditionalFormatting>
  <conditionalFormatting sqref="B8">
    <cfRule type="containsText" dxfId="5094" priority="3" operator="containsText" text="Hear">
      <formula>NOT(ISERROR(SEARCH("Hear",B8)))</formula>
    </cfRule>
  </conditionalFormatting>
  <conditionalFormatting sqref="B22:B25">
    <cfRule type="containsText" dxfId="5093" priority="12" operator="containsText" text="Hear">
      <formula>NOT(ISERROR(SEARCH("Hear",B22)))</formula>
    </cfRule>
  </conditionalFormatting>
  <conditionalFormatting sqref="E25">
    <cfRule type="containsText" dxfId="5092" priority="10" operator="containsText" text="WEB SERVICE">
      <formula>NOT(ISERROR(SEARCH("WEB SERVICE",E25)))</formula>
    </cfRule>
    <cfRule type="containsText" dxfId="5091" priority="11" operator="containsText" text="DB">
      <formula>NOT(ISERROR(SEARCH("DB",E25)))</formula>
    </cfRule>
  </conditionalFormatting>
  <conditionalFormatting sqref="C25">
    <cfRule type="expression" dxfId="5090" priority="13">
      <formula>$B25="Dial"</formula>
    </cfRule>
    <cfRule type="expression" dxfId="5089" priority="15">
      <formula>$B25="HANGUP"</formula>
    </cfRule>
  </conditionalFormatting>
  <conditionalFormatting sqref="C25">
    <cfRule type="expression" dxfId="5088" priority="14">
      <formula>$B25="Speak"</formula>
    </cfRule>
  </conditionalFormatting>
  <conditionalFormatting sqref="B19:B21">
    <cfRule type="containsText" dxfId="5087" priority="2" operator="containsText" text="Hear">
      <formula>NOT(ISERROR(SEARCH("Hear",B19)))</formula>
    </cfRule>
  </conditionalFormatting>
  <conditionalFormatting sqref="B9:B18">
    <cfRule type="containsText" dxfId="5086" priority="1" operator="containsText" text="Hear">
      <formula>NOT(ISERROR(SEARCH("Hear",B9)))</formula>
    </cfRule>
  </conditionalFormatting>
  <hyperlinks>
    <hyperlink ref="A1" location="'Test Case Overview'!A1" display="Return to Test Case Overview" xr:uid="{00000000-0004-0000-31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3" id="{EE3A120A-9A6C-4801-A398-D6FA7244DCE5}">
            <xm:f>'TC1'!$B8="HANGUP"</xm:f>
            <x14:dxf>
              <font>
                <b/>
                <i val="0"/>
              </font>
            </x14:dxf>
          </x14:cfRule>
          <x14:cfRule type="expression" priority="32" id="{F47F9A02-B67F-4D54-9496-4307E43F9D37}">
            <xm:f>'TC1'!$B8="Dial"</xm:f>
            <x14:dxf>
              <font>
                <b/>
                <i val="0"/>
                <color rgb="FFFF0000"/>
              </font>
            </x14:dxf>
          </x14:cfRule>
          <xm:sqref>C8</xm:sqref>
        </x14:conditionalFormatting>
        <x14:conditionalFormatting xmlns:xm="http://schemas.microsoft.com/office/excel/2006/main">
          <x14:cfRule type="expression" priority="33" id="{CB896242-DDF1-43C2-BE84-C9921BB7ACEA}">
            <xm:f>'TC1'!$B8="Speak"</xm:f>
            <x14:dxf>
              <font>
                <b/>
                <i val="0"/>
                <color rgb="FFFF0000"/>
              </font>
            </x14:dxf>
          </x14:cfRule>
          <xm:sqref>C8</xm:sqref>
        </x14:conditionalFormatting>
        <x14:conditionalFormatting xmlns:xm="http://schemas.microsoft.com/office/excel/2006/main">
          <x14:cfRule type="containsText" priority="34" operator="containsText" text="DB" id="{3345AAC7-CB3F-4940-8F18-696AADA9915B}">
            <xm:f>NOT(ISERROR(SEARCH("DB",'TC1'!E10)))</xm:f>
            <x14:dxf>
              <font>
                <color rgb="FF006100"/>
              </font>
              <fill>
                <patternFill>
                  <bgColor rgb="FFC6EFCE"/>
                </patternFill>
              </fill>
            </x14:dxf>
          </x14:cfRule>
          <x14:cfRule type="containsText" priority="34" operator="containsText" text="WEB SERVICE" id="{6ADCF886-54D2-4379-84A9-C97778D2E7AE}">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250" id="{EE3A120A-9A6C-4801-A398-D6FA7244DCE5}">
            <xm:f>'TC1'!#REF!="HANGUP"</xm:f>
            <x14:dxf>
              <font>
                <b/>
                <i val="0"/>
              </font>
            </x14:dxf>
          </x14:cfRule>
          <x14:cfRule type="expression" priority="1251" id="{F47F9A02-B67F-4D54-9496-4307E43F9D37}">
            <xm:f>'TC1'!#REF!="Dial"</xm:f>
            <x14:dxf>
              <font>
                <b/>
                <i val="0"/>
                <color rgb="FFFF0000"/>
              </font>
            </x14:dxf>
          </x14:cfRule>
          <xm:sqref>C13:C24</xm:sqref>
        </x14:conditionalFormatting>
        <x14:conditionalFormatting xmlns:xm="http://schemas.microsoft.com/office/excel/2006/main">
          <x14:cfRule type="expression" priority="1256" id="{CB896242-DDF1-43C2-BE84-C9921BB7ACEA}">
            <xm:f>'TC1'!#REF!="Speak"</xm:f>
            <x14:dxf>
              <font>
                <b/>
                <i val="0"/>
                <color rgb="FFFF0000"/>
              </font>
            </x14:dxf>
          </x14:cfRule>
          <xm:sqref>C13:C24</xm:sqref>
        </x14:conditionalFormatting>
        <x14:conditionalFormatting xmlns:xm="http://schemas.microsoft.com/office/excel/2006/main">
          <x14:cfRule type="containsText" priority="1262" operator="containsText" text="DB" id="{3345AAC7-CB3F-4940-8F18-696AADA9915B}">
            <xm:f>NOT(ISERROR(SEARCH("DB",'TC1'!#REF!)))</xm:f>
            <x14:dxf>
              <font>
                <color rgb="FF006100"/>
              </font>
              <fill>
                <patternFill>
                  <bgColor rgb="FFC6EFCE"/>
                </patternFill>
              </fill>
            </x14:dxf>
          </x14:cfRule>
          <x14:cfRule type="containsText" priority="1263" operator="containsText" text="WEB SERVICE" id="{6ADCF886-54D2-4379-84A9-C97778D2E7AE}">
            <xm:f>NOT(ISERROR(SEARCH("WEB SERVICE",'TC1'!#REF!)))</xm:f>
            <x14:dxf>
              <font>
                <color rgb="FF9C0006"/>
              </font>
              <fill>
                <patternFill>
                  <bgColor rgb="FFFFC7CE"/>
                </patternFill>
              </fill>
            </x14:dxf>
          </x14:cfRule>
          <xm:sqref>E13:E24</xm:sqref>
        </x14:conditionalFormatting>
        <x14:conditionalFormatting xmlns:xm="http://schemas.microsoft.com/office/excel/2006/main">
          <x14:cfRule type="expression" priority="3752" id="{EE3A120A-9A6C-4801-A398-D6FA7244DCE5}">
            <xm:f>'TC1'!$B10="HANGUP"</xm:f>
            <x14:dxf>
              <font>
                <b/>
                <i val="0"/>
              </font>
            </x14:dxf>
          </x14:cfRule>
          <x14:cfRule type="expression" priority="3753" id="{F47F9A02-B67F-4D54-9496-4307E43F9D37}">
            <xm:f>'TC1'!$B10="Dial"</xm:f>
            <x14:dxf>
              <font>
                <b/>
                <i val="0"/>
                <color rgb="FFFF0000"/>
              </font>
            </x14:dxf>
          </x14:cfRule>
          <xm:sqref>C9:C12</xm:sqref>
        </x14:conditionalFormatting>
        <x14:conditionalFormatting xmlns:xm="http://schemas.microsoft.com/office/excel/2006/main">
          <x14:cfRule type="expression" priority="3755" id="{CB896242-DDF1-43C2-BE84-C9921BB7ACEA}">
            <xm:f>'TC1'!$B10="Speak"</xm:f>
            <x14:dxf>
              <font>
                <b/>
                <i val="0"/>
                <color rgb="FFFF0000"/>
              </font>
            </x14:dxf>
          </x14:cfRule>
          <xm:sqref>C9:C12</xm:sqref>
        </x14:conditionalFormatting>
      </x14:conditionalFormatting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2"/>
  <dimension ref="A1:E39"/>
  <sheetViews>
    <sheetView zoomScaleNormal="100" workbookViewId="0">
      <selection activeCell="C24" sqref="C24"/>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TC50</v>
      </c>
    </row>
    <row r="3" spans="1:5">
      <c r="A3" s="100" t="s">
        <v>19</v>
      </c>
      <c r="B3" s="108">
        <f ca="1">VLOOKUP(B2,Table1[#All],2,FALSE)</f>
        <v>0</v>
      </c>
    </row>
    <row r="4" spans="1:5" ht="45">
      <c r="A4" s="109" t="s">
        <v>20</v>
      </c>
      <c r="B4" s="95" t="str">
        <f ca="1">VLOOKUP(B2,Table1[#All],4,FALSE)</f>
        <v>svcArea=titleSvcs, serviceType=chgOwnership, Completed=Yes, &lt;90 days, NOT&gt; 15 days ago</v>
      </c>
    </row>
    <row r="5" spans="1:5" ht="45">
      <c r="A5" s="100" t="s">
        <v>6</v>
      </c>
      <c r="B5" s="89" t="str">
        <f ca="1">VLOOKUP(B2,Table1[#All],3,FALSE)</f>
        <v xml:space="preserve">CallStart Main Menu /Title /CheckStatus/ID Auth=True/ Yes/ hear request processed/at wrap menu HU </v>
      </c>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VLOOKUP(Table25755252691013434446474849565758596315181719224566677172737476777879[[#This Row],[PEG]],Table1016[#All],2,FALSE)</f>
        <v>CallID.wav Call ID &lt;CallID&gt;</v>
      </c>
      <c r="D9" s="149" t="s">
        <v>477</v>
      </c>
      <c r="E9" s="122" t="str">
        <f>VLOOKUP(Table25755252691013434446474849565758596315181719224566677172737476777879[[#This Row],[PEG]],Table1016[#All],3,FALSE)</f>
        <v>TEST</v>
      </c>
    </row>
    <row r="10" spans="1:5" ht="30">
      <c r="A10" s="114">
        <v>3</v>
      </c>
      <c r="B10" s="110" t="s">
        <v>115</v>
      </c>
      <c r="C10" s="105" t="str">
        <f>VLOOKUP(Table25755252691013434446474849565758596315181719224566677172737476777879[[#This Row],[PEG]],Table1016[#All],2,FALSE)</f>
        <v>0100.wav Thank you for calling Shell vacations Club, we are glad you called. Please have your account number available for faster service. [To continue in Spanish, press 9]</v>
      </c>
      <c r="D10" s="149">
        <v>100</v>
      </c>
      <c r="E10" s="122" t="str">
        <f>VLOOKUP(Table25755252691013434446474849565758596315181719224566677172737476777879[[#This Row],[PEG]],Table1016[#All],3,FALSE)</f>
        <v>PLAY PROMPT</v>
      </c>
    </row>
    <row r="11" spans="1:5" ht="30">
      <c r="A11" s="114">
        <v>4</v>
      </c>
      <c r="B11" s="110" t="s">
        <v>115</v>
      </c>
      <c r="C11" s="105" t="str">
        <f>VLOOKUP(Table25755252691013434446474849565758596315181719224566677172737476777879[[#This Row],[PEG]],Table1016[#All],2,FALSE)</f>
        <v>0110-1.wav Which would you like? You can say... reservations, payments &amp; statements, title &amp; ownership changes, or more options.</v>
      </c>
      <c r="D11" s="149">
        <v>110</v>
      </c>
      <c r="E11" s="122" t="str">
        <f>VLOOKUP(Table25755252691013434446474849565758596315181719224566677172737476777879[[#This Row],[PEG]],Table1016[#All],3,FALSE)</f>
        <v>MENU PROMPT</v>
      </c>
    </row>
    <row r="12" spans="1:5">
      <c r="A12" s="114">
        <v>5</v>
      </c>
      <c r="B12" s="110" t="s">
        <v>124</v>
      </c>
      <c r="C12" s="158" t="s">
        <v>2</v>
      </c>
      <c r="D12" s="149"/>
      <c r="E12" s="122" t="e">
        <f>VLOOKUP(Table25755252691013434446474849565758596315181719224566677172737476777879[[#This Row],[PEG]],Table1016[#All],3,FALSE)</f>
        <v>#N/A</v>
      </c>
    </row>
    <row r="13" spans="1:5" ht="30">
      <c r="A13" s="114">
        <v>6</v>
      </c>
      <c r="B13" s="110" t="s">
        <v>115</v>
      </c>
      <c r="C13" s="105" t="str">
        <f>VLOOKUP(Table25755252691013434446474849565758596315181719224566677172737476777879[[#This Row],[PEG]],Table1016[#All],2,FALSE)</f>
        <v>0300-1.wav You can say ownership changes, check status, make a payment, or help me with something else. Which would you like?</v>
      </c>
      <c r="D13" s="149">
        <v>300</v>
      </c>
      <c r="E13" s="122" t="str">
        <f>VLOOKUP(Table25755252691013434446474849565758596315181719224566677172737476777879[[#This Row],[PEG]],Table1016[#All],3,FALSE)</f>
        <v>MENU PROMPT</v>
      </c>
    </row>
    <row r="14" spans="1:5">
      <c r="A14" s="114">
        <v>7</v>
      </c>
      <c r="B14" s="110" t="s">
        <v>124</v>
      </c>
      <c r="C14" s="105" t="s">
        <v>492</v>
      </c>
      <c r="D14" s="125"/>
      <c r="E14" s="122" t="e">
        <f>VLOOKUP(Table25755252691013434446474849565758596315181719224566677172737476777879[[#This Row],[PEG]],Table1016[#All],3,FALSE)</f>
        <v>#N/A</v>
      </c>
    </row>
    <row r="15" spans="1:5">
      <c r="A15" s="114">
        <v>8</v>
      </c>
      <c r="B15" s="110" t="s">
        <v>115</v>
      </c>
      <c r="C15" s="105" t="str">
        <f>VLOOKUP(Table25755252691013434446474849565758596315181719224566677172737476777879[[#This Row],[PEG]],Table1016[#All],2,FALSE)</f>
        <v>0200-1.wav To get started, what is your account number?</v>
      </c>
      <c r="D15" s="112">
        <v>200</v>
      </c>
      <c r="E15" s="122" t="str">
        <f>VLOOKUP(Table25755252691013434446474849565758596315181719224566677172737476777879[[#This Row],[PEG]],Table1016[#All],3,FALSE)</f>
        <v>MENU PROMPT</v>
      </c>
    </row>
    <row r="16" spans="1:5">
      <c r="A16" s="114">
        <v>9</v>
      </c>
      <c r="B16" s="110" t="s">
        <v>12</v>
      </c>
      <c r="C16" s="151" t="s">
        <v>515</v>
      </c>
      <c r="D16" s="112"/>
      <c r="E16" s="122" t="e">
        <f>VLOOKUP(Table25755252691013434446474849565758596315181719224566677172737476777879[[#This Row],[PEG]],Table1016[#All],3,FALSE)</f>
        <v>#N/A</v>
      </c>
    </row>
    <row r="17" spans="1:5">
      <c r="A17" s="114">
        <v>10</v>
      </c>
      <c r="B17" s="110" t="s">
        <v>12</v>
      </c>
      <c r="C17" s="105" t="str">
        <f>VLOOKUP(Table25755252691013434446474849565758596315181719224566677172737476777879[[#This Row],[PEG]],Table1016[#All],2,FALSE)</f>
        <v>0210-1.wav And the date of birth for the primary owner?</v>
      </c>
      <c r="D17" s="113">
        <v>210</v>
      </c>
      <c r="E17" s="122" t="str">
        <f>VLOOKUP(Table25755252691013434446474849565758596315181719224566677172737476777879[[#This Row],[PEG]],Table1016[#All],3,FALSE)</f>
        <v>MENU PROMPT</v>
      </c>
    </row>
    <row r="18" spans="1:5">
      <c r="A18" s="114">
        <v>11</v>
      </c>
      <c r="B18" s="110" t="s">
        <v>115</v>
      </c>
      <c r="C18" s="151" t="s">
        <v>524</v>
      </c>
      <c r="D18" s="113"/>
      <c r="E18" s="122" t="e">
        <f>VLOOKUP(Table25755252691013434446474849565758596315181719224566677172737476777879[[#This Row],[PEG]],Table1016[#All],3,FALSE)</f>
        <v>#N/A</v>
      </c>
    </row>
    <row r="19" spans="1:5" ht="30">
      <c r="A19" s="114">
        <v>12</v>
      </c>
      <c r="B19" s="110" t="s">
        <v>115</v>
      </c>
      <c r="C19" s="105" t="str">
        <f>VLOOKUP(Table25755252691013434446474849565758596315181719224566677172737476777879[[#This Row],[PEG]],Table1016[#All],2,FALSE)</f>
        <v>0315.wav Your request to transfer ownership has been processed. A confirmation letter is being mailed to the address on file, and should arrive in the next 10 business days.</v>
      </c>
      <c r="D19" s="113">
        <v>315</v>
      </c>
      <c r="E19" s="122" t="str">
        <f>VLOOKUP(Table25755252691013434446474849565758596315181719224566677172737476777879[[#This Row],[PEG]],Table1016[#All],3,FALSE)</f>
        <v>MENU PROMPT</v>
      </c>
    </row>
    <row r="20" spans="1:5" ht="30">
      <c r="A20" s="114">
        <v>13</v>
      </c>
      <c r="B20" s="110" t="s">
        <v>114</v>
      </c>
      <c r="C20" s="105" t="str">
        <f>VLOOKUP(Table25755252691013434446474849565758596315181719224566677172737476777879[[#This Row],[PEG]],Table1016[#All],2,FALSE)</f>
        <v>0920.wav I've processed your request. Is there anything else I can help you with today? You can say main menu or simply hang up.</v>
      </c>
      <c r="D20" s="113">
        <v>920</v>
      </c>
      <c r="E20" s="122" t="str">
        <f>VLOOKUP(Table25755252691013434446474849565758596315181719224566677172737476777879[[#This Row],[PEG]],Table1016[#All],3,FALSE)</f>
        <v>MENU PROMPT</v>
      </c>
    </row>
    <row r="21" spans="1:5">
      <c r="A21" s="114">
        <v>14</v>
      </c>
      <c r="B21" s="110" t="s">
        <v>13</v>
      </c>
      <c r="C21" s="17" t="s">
        <v>13</v>
      </c>
      <c r="D21" s="111"/>
      <c r="E21" s="31"/>
    </row>
    <row r="22" spans="1:5">
      <c r="C22" s="25"/>
      <c r="D22" s="107" t="s">
        <v>0</v>
      </c>
    </row>
    <row r="23" spans="1:5">
      <c r="C23" s="25"/>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6"/>
    </row>
    <row r="38" spans="3:3">
      <c r="C38" s="26"/>
    </row>
    <row r="39" spans="3:3">
      <c r="C39" s="26"/>
    </row>
  </sheetData>
  <mergeCells count="1">
    <mergeCell ref="A1:B1"/>
  </mergeCells>
  <conditionalFormatting sqref="C22:C9978">
    <cfRule type="expression" dxfId="5063" priority="19">
      <formula>$B22="Dial"</formula>
    </cfRule>
    <cfRule type="expression" dxfId="5062" priority="21">
      <formula>$B22="HANGUP"</formula>
    </cfRule>
  </conditionalFormatting>
  <conditionalFormatting sqref="B8:B18">
    <cfRule type="containsText" dxfId="5061" priority="7" operator="containsText" text="Hear">
      <formula>NOT(ISERROR(SEARCH("Hear",B8)))</formula>
    </cfRule>
  </conditionalFormatting>
  <conditionalFormatting sqref="B19:B21">
    <cfRule type="containsText" dxfId="5060" priority="16" operator="containsText" text="Hear">
      <formula>NOT(ISERROR(SEARCH("Hear",B19)))</formula>
    </cfRule>
  </conditionalFormatting>
  <conditionalFormatting sqref="E21">
    <cfRule type="containsText" dxfId="5059" priority="14" operator="containsText" text="WEB SERVICE">
      <formula>NOT(ISERROR(SEARCH("WEB SERVICE",E21)))</formula>
    </cfRule>
    <cfRule type="containsText" dxfId="5058" priority="15" operator="containsText" text="DB">
      <formula>NOT(ISERROR(SEARCH("DB",E21)))</formula>
    </cfRule>
  </conditionalFormatting>
  <conditionalFormatting sqref="C21">
    <cfRule type="expression" dxfId="5057" priority="17">
      <formula>$B21="Dial"</formula>
    </cfRule>
    <cfRule type="expression" dxfId="5056" priority="22">
      <formula>$B21="HANGUP"</formula>
    </cfRule>
  </conditionalFormatting>
  <conditionalFormatting sqref="C21">
    <cfRule type="expression" dxfId="5055" priority="18">
      <formula>$B21="Speak"</formula>
    </cfRule>
  </conditionalFormatting>
  <hyperlinks>
    <hyperlink ref="A1" location="'Test Case Overview'!A1" display="Return to Test Case Overview" xr:uid="{00000000-0004-0000-32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9" id="{83D1142B-8EC3-4A85-B80D-0F87EEDD1D34}">
            <xm:f>'TC1'!$B8="HANGUP"</xm:f>
            <x14:dxf>
              <font>
                <b/>
                <i val="0"/>
              </font>
            </x14:dxf>
          </x14:cfRule>
          <x14:cfRule type="expression" priority="37" id="{6F599313-0B7B-4641-8415-3BDCB52D6BEA}">
            <xm:f>'TC1'!$B8="Dial"</xm:f>
            <x14:dxf>
              <font>
                <b/>
                <i val="0"/>
                <color rgb="FFFF0000"/>
              </font>
            </x14:dxf>
          </x14:cfRule>
          <xm:sqref>C8</xm:sqref>
        </x14:conditionalFormatting>
        <x14:conditionalFormatting xmlns:xm="http://schemas.microsoft.com/office/excel/2006/main">
          <x14:cfRule type="expression" priority="38" id="{F703B4B6-DF90-4C2F-A1D9-5512261F2B49}">
            <xm:f>'TC1'!$B8="Speak"</xm:f>
            <x14:dxf>
              <font>
                <b/>
                <i val="0"/>
                <color rgb="FFFF0000"/>
              </font>
            </x14:dxf>
          </x14:cfRule>
          <xm:sqref>C8</xm:sqref>
        </x14:conditionalFormatting>
        <x14:conditionalFormatting xmlns:xm="http://schemas.microsoft.com/office/excel/2006/main">
          <x14:cfRule type="containsText" priority="39" operator="containsText" text="DB" id="{8CC2B6DE-8A88-4D85-840D-55ED3DAD6F3B}">
            <xm:f>NOT(ISERROR(SEARCH("DB",'TC1'!E10)))</xm:f>
            <x14:dxf>
              <font>
                <color rgb="FF006100"/>
              </font>
              <fill>
                <patternFill>
                  <bgColor rgb="FFC6EFCE"/>
                </patternFill>
              </fill>
            </x14:dxf>
          </x14:cfRule>
          <x14:cfRule type="containsText" priority="39" operator="containsText" text="WEB SERVICE" id="{2FC7E834-A9FA-4AA1-B581-66B2E4A9A4AE}">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274" id="{83D1142B-8EC3-4A85-B80D-0F87EEDD1D34}">
            <xm:f>'TC1'!#REF!="HANGUP"</xm:f>
            <x14:dxf>
              <font>
                <b/>
                <i val="0"/>
              </font>
            </x14:dxf>
          </x14:cfRule>
          <x14:cfRule type="expression" priority="1275" id="{6F599313-0B7B-4641-8415-3BDCB52D6BEA}">
            <xm:f>'TC1'!#REF!="Dial"</xm:f>
            <x14:dxf>
              <font>
                <b/>
                <i val="0"/>
                <color rgb="FFFF0000"/>
              </font>
            </x14:dxf>
          </x14:cfRule>
          <xm:sqref>C13:C15 C17 C19:C20</xm:sqref>
        </x14:conditionalFormatting>
        <x14:conditionalFormatting xmlns:xm="http://schemas.microsoft.com/office/excel/2006/main">
          <x14:cfRule type="expression" priority="1280" id="{F703B4B6-DF90-4C2F-A1D9-5512261F2B49}">
            <xm:f>'TC1'!#REF!="Speak"</xm:f>
            <x14:dxf>
              <font>
                <b/>
                <i val="0"/>
                <color rgb="FFFF0000"/>
              </font>
            </x14:dxf>
          </x14:cfRule>
          <xm:sqref>C13:C15 C17 C19:C20</xm:sqref>
        </x14:conditionalFormatting>
        <x14:conditionalFormatting xmlns:xm="http://schemas.microsoft.com/office/excel/2006/main">
          <x14:cfRule type="containsText" priority="1286" operator="containsText" text="DB" id="{8CC2B6DE-8A88-4D85-840D-55ED3DAD6F3B}">
            <xm:f>NOT(ISERROR(SEARCH("DB",'TC1'!#REF!)))</xm:f>
            <x14:dxf>
              <font>
                <color rgb="FF006100"/>
              </font>
              <fill>
                <patternFill>
                  <bgColor rgb="FFC6EFCE"/>
                </patternFill>
              </fill>
            </x14:dxf>
          </x14:cfRule>
          <x14:cfRule type="containsText" priority="1287" operator="containsText" text="WEB SERVICE" id="{2FC7E834-A9FA-4AA1-B581-66B2E4A9A4AE}">
            <xm:f>NOT(ISERROR(SEARCH("WEB SERVICE",'TC1'!#REF!)))</xm:f>
            <x14:dxf>
              <font>
                <color rgb="FF9C0006"/>
              </font>
              <fill>
                <patternFill>
                  <bgColor rgb="FFFFC7CE"/>
                </patternFill>
              </fill>
            </x14:dxf>
          </x14:cfRule>
          <xm:sqref>E13:E20</xm:sqref>
        </x14:conditionalFormatting>
        <x14:conditionalFormatting xmlns:xm="http://schemas.microsoft.com/office/excel/2006/main">
          <x14:cfRule type="expression" priority="3764" id="{83D1142B-8EC3-4A85-B80D-0F87EEDD1D34}">
            <xm:f>'TC1'!$B10="HANGUP"</xm:f>
            <x14:dxf>
              <font>
                <b/>
                <i val="0"/>
              </font>
            </x14:dxf>
          </x14:cfRule>
          <x14:cfRule type="expression" priority="3765" id="{6F599313-0B7B-4641-8415-3BDCB52D6BEA}">
            <xm:f>'TC1'!$B10="Dial"</xm:f>
            <x14:dxf>
              <font>
                <b/>
                <i val="0"/>
                <color rgb="FFFF0000"/>
              </font>
            </x14:dxf>
          </x14:cfRule>
          <xm:sqref>C9:C12</xm:sqref>
        </x14:conditionalFormatting>
        <x14:conditionalFormatting xmlns:xm="http://schemas.microsoft.com/office/excel/2006/main">
          <x14:cfRule type="expression" priority="3767" id="{F703B4B6-DF90-4C2F-A1D9-5512261F2B49}">
            <xm:f>'TC1'!$B10="Speak"</xm:f>
            <x14:dxf>
              <font>
                <b/>
                <i val="0"/>
                <color rgb="FFFF0000"/>
              </font>
            </x14:dxf>
          </x14:cfRule>
          <xm:sqref>C9:C12</xm:sqref>
        </x14:conditionalFormatting>
        <x14:conditionalFormatting xmlns:xm="http://schemas.microsoft.com/office/excel/2006/main">
          <x14:cfRule type="expression" priority="4" id="{FB84B141-3A42-4F0F-AD99-850B215DDE19}">
            <xm:f>'\Users\deannah\Wyndham Testing\[Wyndham Destinations_TestCaseOverview_V3_Template.xlsx]TC1'!#REF!="HANGUP"</xm:f>
            <x14:dxf>
              <font>
                <b/>
                <i val="0"/>
              </font>
            </x14:dxf>
          </x14:cfRule>
          <x14:cfRule type="expression" priority="5" id="{60DF8487-683E-4466-8D5B-840AAF67D0EB}">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6" id="{216CFCBD-8B22-435E-A2E3-4D1A861FCF3F}">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1" id="{DA8C319E-83A6-441E-A987-534485202AAD}">
            <xm:f>'\Users\deannah\Wyndham Testing\[Wyndham Destinations_TestCaseOverview_V3_Template.xlsx]TC1'!#REF!="HANGUP"</xm:f>
            <x14:dxf>
              <font>
                <b/>
                <i val="0"/>
              </font>
            </x14:dxf>
          </x14:cfRule>
          <x14:cfRule type="expression" priority="2" id="{900778DC-7474-4562-A133-4A556462CD07}">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3" id="{E3DB350A-37B2-491A-9015-AA0CEDD2970C}">
            <xm:f>'\Users\deannah\Wyndham Testing\[Wyndham Destinations_TestCaseOverview_V3_Template.xlsx]TC1'!#REF!="Speak"</xm:f>
            <x14:dxf>
              <font>
                <b/>
                <i val="0"/>
                <color rgb="FFFF0000"/>
              </font>
            </x14:dxf>
          </x14:cfRule>
          <xm:sqref>C18</xm:sqref>
        </x14:conditionalFormatting>
      </x14:conditionalFormatting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3"/>
  <dimension ref="A1:E44"/>
  <sheetViews>
    <sheetView zoomScaleNormal="100" workbookViewId="0">
      <selection activeCell="C31" sqref="C31"/>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TC51</v>
      </c>
    </row>
    <row r="3" spans="1:5">
      <c r="A3" s="100" t="s">
        <v>19</v>
      </c>
      <c r="B3" s="108">
        <f ca="1">VLOOKUP(B2,Table1[#All],2,FALSE)</f>
        <v>0</v>
      </c>
    </row>
    <row r="4" spans="1:5" ht="45">
      <c r="A4" s="109" t="s">
        <v>20</v>
      </c>
      <c r="B4" s="95" t="str">
        <f ca="1">VLOOKUP(B2,Table1[#All],4,FALSE)</f>
        <v>svcArea=titleSvcs, serviceType=chgOwnership, Not in progress or complete &lt;90days. 325-S-DD-A</v>
      </c>
      <c r="C4" s="94" t="s">
        <v>214</v>
      </c>
    </row>
    <row r="5" spans="1:5" ht="75">
      <c r="A5" s="100" t="s">
        <v>6</v>
      </c>
      <c r="B5" s="89" t="str">
        <f ca="1">VLOOKUP(B2,Table1[#All],3,FALSE)</f>
        <v>CallStart Main Menu /Title /Ownership changes/ID Auth=True/ add owner at ChangeMenu/hear prompt/say repeat that; send letter to start process/OSF04 returns else/ hear techDiff, xfer</v>
      </c>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VLOOKUP(Table2575525269101343444647484956575859631518171922456667717273747677787993[[#This Row],[PEG]],Table1016[#All],2,FALSE)</f>
        <v>CallID.wav Call ID &lt;CallID&gt;</v>
      </c>
      <c r="D9" s="152" t="s">
        <v>477</v>
      </c>
      <c r="E9" s="122" t="str">
        <f>VLOOKUP(Table2575525269101343444647484956575859631518171922456667717273747677787993[[#This Row],[PEG]],Table1016[#All],3,FALSE)</f>
        <v>TEST</v>
      </c>
    </row>
    <row r="10" spans="1:5" ht="30">
      <c r="A10" s="114">
        <v>3</v>
      </c>
      <c r="B10" s="110" t="s">
        <v>115</v>
      </c>
      <c r="C10" s="127" t="str">
        <f>VLOOKUP(Table2575525269101343444647484956575859631518171922456667717273747677787993[[#This Row],[PEG]],Table1016[#All],2,FALSE)</f>
        <v>0100.wav Thank you for calling Shell vacations Club, we are glad you called. Please have your account number available for faster service. [To continue in Spanish, press 9]</v>
      </c>
      <c r="D10" s="152">
        <v>100</v>
      </c>
      <c r="E10" s="122" t="str">
        <f>VLOOKUP(Table2575525269101343444647484956575859631518171922456667717273747677787993[[#This Row],[PEG]],Table1016[#All],3,FALSE)</f>
        <v>PLAY PROMPT</v>
      </c>
    </row>
    <row r="11" spans="1:5" ht="30">
      <c r="A11" s="114">
        <v>4</v>
      </c>
      <c r="B11" s="110" t="s">
        <v>115</v>
      </c>
      <c r="C11" s="105" t="str">
        <f>VLOOKUP(Table2575525269101343444647484956575859631518171922456667717273747677787993[[#This Row],[PEG]],Table1016[#All],2,FALSE)</f>
        <v>0110-1.wav Which would you like? You can say... reservations, payments &amp; statements, title &amp; ownership changes, or more options.</v>
      </c>
      <c r="D11" s="152">
        <v>110</v>
      </c>
      <c r="E11" s="122" t="str">
        <f>VLOOKUP(Table2575525269101343444647484956575859631518171922456667717273747677787993[[#This Row],[PEG]],Table1016[#All],3,FALSE)</f>
        <v>MENU PROMPT</v>
      </c>
    </row>
    <row r="12" spans="1:5">
      <c r="A12" s="114">
        <v>5</v>
      </c>
      <c r="B12" s="110" t="s">
        <v>124</v>
      </c>
      <c r="C12" s="156" t="s">
        <v>500</v>
      </c>
      <c r="D12" s="152"/>
      <c r="E12" s="122" t="e">
        <f>VLOOKUP(Table2575525269101343444647484956575859631518171922456667717273747677787993[[#This Row],[PEG]],Table1016[#All],3,FALSE)</f>
        <v>#N/A</v>
      </c>
    </row>
    <row r="13" spans="1:5" ht="30">
      <c r="A13" s="114">
        <v>6</v>
      </c>
      <c r="B13" s="110" t="s">
        <v>115</v>
      </c>
      <c r="C13" s="105" t="str">
        <f>VLOOKUP(Table2575525269101343444647484956575859631518171922456667717273747677787993[[#This Row],[PEG]],Table1016[#All],2,FALSE)</f>
        <v>0300-1.wav You can say ownership changes, check status, make a payment, or help me with something else. Which would you like?</v>
      </c>
      <c r="D13" s="152">
        <v>300</v>
      </c>
      <c r="E13" s="122" t="str">
        <f>VLOOKUP(Table2575525269101343444647484956575859631518171922456667717273747677787993[[#This Row],[PEG]],Table1016[#All],3,FALSE)</f>
        <v>MENU PROMPT</v>
      </c>
    </row>
    <row r="14" spans="1:5">
      <c r="A14" s="114">
        <v>7</v>
      </c>
      <c r="B14" s="110" t="s">
        <v>124</v>
      </c>
      <c r="C14" s="105" t="s">
        <v>527</v>
      </c>
      <c r="D14" s="125"/>
      <c r="E14" s="122" t="e">
        <f>VLOOKUP(Table2575525269101343444647484956575859631518171922456667717273747677787993[[#This Row],[PEG]],Table1016[#All],3,FALSE)</f>
        <v>#N/A</v>
      </c>
    </row>
    <row r="15" spans="1:5">
      <c r="A15" s="114">
        <v>8</v>
      </c>
      <c r="B15" s="110" t="s">
        <v>115</v>
      </c>
      <c r="C15" s="105" t="str">
        <f>VLOOKUP(Table2575525269101343444647484956575859631518171922456667717273747677787993[[#This Row],[PEG]],Table1016[#All],2,FALSE)</f>
        <v>0200-1.wav To get started, what is your account number?</v>
      </c>
      <c r="D15" s="153">
        <v>200</v>
      </c>
      <c r="E15" s="122" t="str">
        <f>VLOOKUP(Table2575525269101343444647484956575859631518171922456667717273747677787993[[#This Row],[PEG]],Table1016[#All],3,FALSE)</f>
        <v>MENU PROMPT</v>
      </c>
    </row>
    <row r="16" spans="1:5">
      <c r="A16" s="114">
        <v>9</v>
      </c>
      <c r="B16" s="110" t="s">
        <v>114</v>
      </c>
      <c r="C16" s="105" t="s">
        <v>497</v>
      </c>
      <c r="D16" s="112"/>
      <c r="E16" s="122" t="e">
        <f>VLOOKUP(Table2575525269101343444647484956575859631518171922456667717273747677787993[[#This Row],[PEG]],Table1016[#All],3,FALSE)</f>
        <v>#N/A</v>
      </c>
    </row>
    <row r="17" spans="1:5">
      <c r="A17" s="114">
        <v>10</v>
      </c>
      <c r="B17" s="110" t="s">
        <v>115</v>
      </c>
      <c r="C17" s="105" t="str">
        <f>VLOOKUP(Table2575525269101343444647484956575859631518171922456667717273747677787993[[#This Row],[PEG]],Table1016[#All],2,FALSE)</f>
        <v>0210-1.wav And the date of birth for the primary owner?</v>
      </c>
      <c r="D17" s="154">
        <v>210</v>
      </c>
      <c r="E17" s="122" t="str">
        <f>VLOOKUP(Table2575525269101343444647484956575859631518171922456667717273747677787993[[#This Row],[PEG]],Table1016[#All],3,FALSE)</f>
        <v>MENU PROMPT</v>
      </c>
    </row>
    <row r="18" spans="1:5">
      <c r="A18" s="114">
        <v>11</v>
      </c>
      <c r="B18" s="110" t="s">
        <v>124</v>
      </c>
      <c r="C18" s="105" t="s">
        <v>528</v>
      </c>
      <c r="D18" s="113"/>
      <c r="E18" s="122" t="e">
        <f>VLOOKUP(Table2575525269101343444647484956575859631518171922456667717273747677787993[[#This Row],[PEG]],Table1016[#All],3,FALSE)</f>
        <v>#N/A</v>
      </c>
    </row>
    <row r="19" spans="1:5" ht="45">
      <c r="A19" s="114">
        <v>12</v>
      </c>
      <c r="B19" s="110" t="s">
        <v>115</v>
      </c>
      <c r="C19" s="105" t="str">
        <f>VLOOKUP(Table2575525269101343444647484956575859631518171922456667717273747677787993[[#This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54">
        <v>320</v>
      </c>
      <c r="E19" s="122" t="str">
        <f>VLOOKUP(Table2575525269101343444647484956575859631518171922456667717273747677787993[[#This Row],[PEG]],Table1016[#All],3,FALSE)</f>
        <v>MENU PROMPT</v>
      </c>
    </row>
    <row r="20" spans="1:5">
      <c r="A20" s="114">
        <v>13</v>
      </c>
      <c r="B20" s="110" t="s">
        <v>124</v>
      </c>
      <c r="C20" s="105" t="s">
        <v>529</v>
      </c>
      <c r="D20" s="154"/>
      <c r="E20" s="122" t="e">
        <f>VLOOKUP(Table2575525269101343444647484956575859631518171922456667717273747677787993[[#This Row],[PEG]],Table1016[#All],3,FALSE)</f>
        <v>#N/A</v>
      </c>
    </row>
    <row r="21" spans="1:5" ht="75">
      <c r="A21" s="114">
        <v>14</v>
      </c>
      <c r="B21" s="110" t="s">
        <v>115</v>
      </c>
      <c r="C21" s="105" t="str">
        <f>VLOOKUP(Table2575525269101343444647484956575859631518171922456667717273747677787993[[#This Row],[PEG]],Table1016[#All],2,FALSE)</f>
        <v>Wyndham requires a $100 processing fee per account to update ownership and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Shell Member Transfers.</v>
      </c>
      <c r="D21" s="154" t="s">
        <v>214</v>
      </c>
      <c r="E21" s="122" t="str">
        <f>VLOOKUP(Table2575525269101343444647484956575859631518171922456667717273747677787993[[#This Row],[PEG]],Table1016[#All],3,FALSE)</f>
        <v>PLAY PROMPT</v>
      </c>
    </row>
    <row r="22" spans="1:5" ht="30">
      <c r="A22" s="114">
        <v>15</v>
      </c>
      <c r="B22" s="110" t="s">
        <v>115</v>
      </c>
      <c r="C22" s="105" t="str">
        <f>VLOOKUP(Table2575525269101343444647484956575859631518171922456667717273747677787993[[#This Row],[PEG]],Table1016[#All],2,FALSE)</f>
        <v>0330-1.wav To hear this information again, say repeat that. If you would like me to send you a letter with instructions to start the process, say information letter.</v>
      </c>
      <c r="D22" s="154">
        <v>330</v>
      </c>
      <c r="E22" s="122" t="str">
        <f>VLOOKUP(Table2575525269101343444647484956575859631518171922456667717273747677787993[[#This Row],[PEG]],Table1016[#All],3,FALSE)</f>
        <v>MENU PROMPT</v>
      </c>
    </row>
    <row r="23" spans="1:5">
      <c r="A23" s="114">
        <v>16</v>
      </c>
      <c r="B23" s="110" t="s">
        <v>530</v>
      </c>
      <c r="C23" s="105" t="s">
        <v>531</v>
      </c>
      <c r="D23" s="154"/>
      <c r="E23" s="122" t="e">
        <f>VLOOKUP(Table2575525269101343444647484956575859631518171922456667717273747677787993[[#This Row],[PEG]],Table1016[#All],3,FALSE)</f>
        <v>#N/A</v>
      </c>
    </row>
    <row r="24" spans="1:5">
      <c r="A24" s="114">
        <v>17</v>
      </c>
      <c r="B24" s="110" t="s">
        <v>115</v>
      </c>
      <c r="C24" s="105" t="str">
        <f>VLOOKUP(Table2575525269101343444647484956575859631518171922456667717273747677787993[[#This Row],[PEG]],Table1016[#All],2,FALSE)</f>
        <v>techDiff.wav I'm having trouble.</v>
      </c>
      <c r="D24" s="154" t="s">
        <v>209</v>
      </c>
      <c r="E24" s="122" t="str">
        <f>VLOOKUP(Table2575525269101343444647484956575859631518171922456667717273747677787993[[#This Row],[PEG]],Table1016[#All],3,FALSE)</f>
        <v>PLAY PROMPT</v>
      </c>
    </row>
    <row r="25" spans="1:5">
      <c r="A25" s="114">
        <v>18</v>
      </c>
      <c r="B25" s="110" t="s">
        <v>115</v>
      </c>
      <c r="C25" s="105" t="str">
        <f>VLOOKUP(Table2575525269101343444647484956575859631518171922456667717273747677787993[[#This Row],[PEG]],Table1016[#All],2,FALSE)</f>
        <v>0900.wav Please hold, while I connect you to a customer service representative.</v>
      </c>
      <c r="D25" s="154">
        <v>900</v>
      </c>
      <c r="E25" s="122" t="str">
        <f>VLOOKUP(Table2575525269101343444647484956575859631518171922456667717273747677787993[[#This Row],[PEG]],Table1016[#All],3,FALSE)</f>
        <v>PLAY PROMPT</v>
      </c>
    </row>
    <row r="26" spans="1:5">
      <c r="A26" s="114">
        <v>19</v>
      </c>
      <c r="B26" s="110" t="s">
        <v>114</v>
      </c>
      <c r="C26" s="105" t="str">
        <f>VLOOKUP(Table2575525269101343444647484956575859631518171922456667717273747677787993[[#This Row],[PEG]],Table1016[#All],2,FALSE)</f>
        <v>XferNbr.wav Transfer Number &lt;TransferNbr&gt;</v>
      </c>
      <c r="D26" s="154" t="s">
        <v>480</v>
      </c>
      <c r="E26" s="122" t="str">
        <f>VLOOKUP(Table2575525269101343444647484956575859631518171922456667717273747677787993[[#This Row],[PEG]],Table1016[#All],3,FALSE)</f>
        <v>TEST</v>
      </c>
    </row>
    <row r="27" spans="1:5">
      <c r="A27" s="114">
        <v>20</v>
      </c>
      <c r="B27" s="110" t="s">
        <v>13</v>
      </c>
      <c r="C27" s="105" t="s">
        <v>13</v>
      </c>
      <c r="D27" s="154"/>
      <c r="E27" s="122" t="e">
        <f>VLOOKUP(Table2575525269101343444647484956575859631518171922456667717273747677787993[[#This Row],[PEG]],Table1016[#All],3,FALSE)</f>
        <v>#N/A</v>
      </c>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5"/>
    </row>
    <row r="39" spans="3:3">
      <c r="C39" s="25"/>
    </row>
    <row r="40" spans="3:3">
      <c r="C40" s="25"/>
    </row>
    <row r="41" spans="3:3">
      <c r="C41" s="25"/>
    </row>
    <row r="42" spans="3:3">
      <c r="C42" s="26"/>
    </row>
    <row r="43" spans="3:3">
      <c r="C43" s="26"/>
    </row>
    <row r="44" spans="3:3">
      <c r="C44" s="26"/>
    </row>
  </sheetData>
  <mergeCells count="1">
    <mergeCell ref="A1:B1"/>
  </mergeCells>
  <conditionalFormatting sqref="C28:C9983">
    <cfRule type="expression" dxfId="5026" priority="32">
      <formula>$B28="Dial"</formula>
    </cfRule>
    <cfRule type="expression" dxfId="5025" priority="34">
      <formula>$B28="HANGUP"</formula>
    </cfRule>
  </conditionalFormatting>
  <conditionalFormatting sqref="B8 B20:B23">
    <cfRule type="containsText" dxfId="5024" priority="4" operator="containsText" text="Hear">
      <formula>NOT(ISERROR(SEARCH("Hear",B8)))</formula>
    </cfRule>
  </conditionalFormatting>
  <conditionalFormatting sqref="B24:B27">
    <cfRule type="containsText" dxfId="5023" priority="10" operator="containsText" text="Hear">
      <formula>NOT(ISERROR(SEARCH("Hear",B24)))</formula>
    </cfRule>
  </conditionalFormatting>
  <conditionalFormatting sqref="B18:B19">
    <cfRule type="containsText" dxfId="5022" priority="2" operator="containsText" text="Hear">
      <formula>NOT(ISERROR(SEARCH("Hear",B18)))</formula>
    </cfRule>
  </conditionalFormatting>
  <conditionalFormatting sqref="B9:B17">
    <cfRule type="containsText" dxfId="5021" priority="1" operator="containsText" text="Hear">
      <formula>NOT(ISERROR(SEARCH("Hear",B9)))</formula>
    </cfRule>
  </conditionalFormatting>
  <hyperlinks>
    <hyperlink ref="A1" location="'Test Case Overview'!A1" display="Return to Test Case Overview" xr:uid="{00000000-0004-0000-3300-000000000000}"/>
  </hyperlink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4" id="{733968F6-84A4-4289-9D36-231FBBF9C1F8}">
            <xm:f>'TC1'!$B8="HANGUP"</xm:f>
            <x14:dxf>
              <font>
                <b/>
                <i val="0"/>
              </font>
            </x14:dxf>
          </x14:cfRule>
          <x14:cfRule type="expression" priority="15" id="{1F76EB0C-9E61-4D7B-8942-2A81EE6459E5}">
            <xm:f>'TC1'!$B8="Dial"</xm:f>
            <x14:dxf>
              <font>
                <b/>
                <i val="0"/>
                <color rgb="FFFF0000"/>
              </font>
            </x14:dxf>
          </x14:cfRule>
          <xm:sqref>C8</xm:sqref>
        </x14:conditionalFormatting>
        <x14:conditionalFormatting xmlns:xm="http://schemas.microsoft.com/office/excel/2006/main">
          <x14:cfRule type="expression" priority="16" id="{BB24A312-BCA6-4FC0-8F62-6D5122301E42}">
            <xm:f>'TC1'!$B8="Speak"</xm:f>
            <x14:dxf>
              <font>
                <b/>
                <i val="0"/>
                <color rgb="FFFF0000"/>
              </font>
            </x14:dxf>
          </x14:cfRule>
          <xm:sqref>C8</xm:sqref>
        </x14:conditionalFormatting>
        <x14:conditionalFormatting xmlns:xm="http://schemas.microsoft.com/office/excel/2006/main">
          <x14:cfRule type="containsText" priority="12" operator="containsText" text="DB" id="{4BBB50E1-F41D-4690-A7BD-B4C8089CA26D}">
            <xm:f>NOT(ISERROR(SEARCH("DB",'TC1'!E10)))</xm:f>
            <x14:dxf>
              <font>
                <color rgb="FF006100"/>
              </font>
              <fill>
                <patternFill>
                  <bgColor rgb="FFC6EFCE"/>
                </patternFill>
              </fill>
            </x14:dxf>
          </x14:cfRule>
          <x14:cfRule type="containsText" priority="17" operator="containsText" text="WEB SERVICE" id="{87259611-B4E0-416D-A845-F908BEDB2621}">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291" id="{733968F6-84A4-4289-9D36-231FBBF9C1F8}">
            <xm:f>'TC1'!#REF!="HANGUP"</xm:f>
            <x14:dxf>
              <font>
                <b/>
                <i val="0"/>
              </font>
            </x14:dxf>
          </x14:cfRule>
          <x14:cfRule type="expression" priority="1292" id="{1F76EB0C-9E61-4D7B-8942-2A81EE6459E5}">
            <xm:f>'TC1'!#REF!="Dial"</xm:f>
            <x14:dxf>
              <font>
                <b/>
                <i val="0"/>
                <color rgb="FFFF0000"/>
              </font>
            </x14:dxf>
          </x14:cfRule>
          <xm:sqref>C13:C27</xm:sqref>
        </x14:conditionalFormatting>
        <x14:conditionalFormatting xmlns:xm="http://schemas.microsoft.com/office/excel/2006/main">
          <x14:cfRule type="expression" priority="1297" id="{BB24A312-BCA6-4FC0-8F62-6D5122301E42}">
            <xm:f>'TC1'!#REF!="Speak"</xm:f>
            <x14:dxf>
              <font>
                <b/>
                <i val="0"/>
                <color rgb="FFFF0000"/>
              </font>
            </x14:dxf>
          </x14:cfRule>
          <xm:sqref>C13:C27</xm:sqref>
        </x14:conditionalFormatting>
        <x14:conditionalFormatting xmlns:xm="http://schemas.microsoft.com/office/excel/2006/main">
          <x14:cfRule type="containsText" priority="1303" operator="containsText" text="DB" id="{4BBB50E1-F41D-4690-A7BD-B4C8089CA26D}">
            <xm:f>NOT(ISERROR(SEARCH("DB",'TC1'!#REF!)))</xm:f>
            <x14:dxf>
              <font>
                <color rgb="FF006100"/>
              </font>
              <fill>
                <patternFill>
                  <bgColor rgb="FFC6EFCE"/>
                </patternFill>
              </fill>
            </x14:dxf>
          </x14:cfRule>
          <x14:cfRule type="containsText" priority="1304" operator="containsText" text="WEB SERVICE" id="{87259611-B4E0-416D-A845-F908BEDB2621}">
            <xm:f>NOT(ISERROR(SEARCH("WEB SERVICE",'TC1'!#REF!)))</xm:f>
            <x14:dxf>
              <font>
                <color rgb="FF9C0006"/>
              </font>
              <fill>
                <patternFill>
                  <bgColor rgb="FFFFC7CE"/>
                </patternFill>
              </fill>
            </x14:dxf>
          </x14:cfRule>
          <xm:sqref>E13:E27</xm:sqref>
        </x14:conditionalFormatting>
        <x14:conditionalFormatting xmlns:xm="http://schemas.microsoft.com/office/excel/2006/main">
          <x14:cfRule type="expression" priority="3769" id="{733968F6-84A4-4289-9D36-231FBBF9C1F8}">
            <xm:f>'TC1'!$B10="HANGUP"</xm:f>
            <x14:dxf>
              <font>
                <b/>
                <i val="0"/>
              </font>
            </x14:dxf>
          </x14:cfRule>
          <x14:cfRule type="expression" priority="3770" id="{1F76EB0C-9E61-4D7B-8942-2A81EE6459E5}">
            <xm:f>'TC1'!$B10="Dial"</xm:f>
            <x14:dxf>
              <font>
                <b/>
                <i val="0"/>
                <color rgb="FFFF0000"/>
              </font>
            </x14:dxf>
          </x14:cfRule>
          <xm:sqref>C9:C12</xm:sqref>
        </x14:conditionalFormatting>
        <x14:conditionalFormatting xmlns:xm="http://schemas.microsoft.com/office/excel/2006/main">
          <x14:cfRule type="expression" priority="3772" id="{BB24A312-BCA6-4FC0-8F62-6D5122301E42}">
            <xm:f>'TC1'!$B10="Speak"</xm:f>
            <x14:dxf>
              <font>
                <b/>
                <i val="0"/>
                <color rgb="FFFF0000"/>
              </font>
            </x14:dxf>
          </x14:cfRule>
          <xm:sqref>C9:C12</xm:sqref>
        </x14:conditionalFormatting>
      </x14:conditionalFormatting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4"/>
  <dimension ref="A1:E42"/>
  <sheetViews>
    <sheetView zoomScaleNormal="100" workbookViewId="0">
      <selection activeCell="C29" sqref="C29"/>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TC52</v>
      </c>
    </row>
    <row r="3" spans="1:5">
      <c r="A3" s="100" t="s">
        <v>19</v>
      </c>
      <c r="B3" s="108">
        <f ca="1">VLOOKUP(B2,Table1[#All],2,FALSE)</f>
        <v>0</v>
      </c>
    </row>
    <row r="4" spans="1:5" ht="45">
      <c r="A4" s="109" t="s">
        <v>20</v>
      </c>
      <c r="B4" s="95" t="str">
        <f ca="1">VLOOKUP(B2,Table1[#All],4,FALSE)</f>
        <v>svcArea=titleSvcs, serviceType=chgOwnership, Not in progress or complete &lt;90days. 325-S-ND-R</v>
      </c>
      <c r="C4" s="94" t="s">
        <v>532</v>
      </c>
    </row>
    <row r="5" spans="1:5" ht="60">
      <c r="A5" s="100" t="s">
        <v>6</v>
      </c>
      <c r="B5" s="89" t="str">
        <f ca="1">VLOOKUP(B2,Table1[#All],3,FALSE)</f>
        <v>CallStart Main Menu /Title /Ownership changes/ID Auth=True/ remove owner at ChangeMenu/send ltr/success at OFS04/at wrap menu HU</v>
      </c>
    </row>
    <row r="7" spans="1:5" ht="15.75">
      <c r="A7" s="96" t="s">
        <v>7</v>
      </c>
      <c r="B7" s="97" t="s">
        <v>8</v>
      </c>
      <c r="C7" s="98" t="s">
        <v>9</v>
      </c>
      <c r="D7" s="98" t="s">
        <v>14</v>
      </c>
      <c r="E7" s="99" t="s">
        <v>10</v>
      </c>
    </row>
    <row r="8" spans="1:5">
      <c r="A8" s="114">
        <v>1</v>
      </c>
      <c r="B8" s="110" t="s">
        <v>114</v>
      </c>
      <c r="C8" s="105" t="s">
        <v>125</v>
      </c>
      <c r="D8" s="125"/>
      <c r="E8" s="122" t="s">
        <v>11</v>
      </c>
    </row>
    <row r="9" spans="1:5" ht="30">
      <c r="A9" s="114">
        <v>2</v>
      </c>
      <c r="B9" s="110" t="s">
        <v>115</v>
      </c>
      <c r="C9" s="105" t="str">
        <f>VLOOKUP(Table257552526910134344464748495657585963151817192245666771727374767778799394[[#This Row],[PEG]],Table1016[#All],2,FALSE)</f>
        <v>0100.wav Thank you for calling Shell vacations Club, we are glad you called. Please have your account number available for faster service. [To continue in Spanish, press 9]</v>
      </c>
      <c r="D9" s="152">
        <v>100</v>
      </c>
      <c r="E9" s="122" t="str">
        <f>VLOOKUP(Table257552526910134344464748495657585963151817192245666771727374767778799394[[#This Row],[PEG]],Table1016[#All],3,FALSE)</f>
        <v>PLAY PROMPT</v>
      </c>
    </row>
    <row r="10" spans="1:5" ht="30">
      <c r="A10" s="114">
        <v>3</v>
      </c>
      <c r="B10" s="110" t="s">
        <v>115</v>
      </c>
      <c r="C10" s="158" t="str">
        <f>VLOOKUP(Table257552526910134344464748495657585963151817192245666771727374767778799394[[#This Row],[PEG]],Table1016[#All],2,FALSE)</f>
        <v>0110-1.wav Which would you like? You can say... reservations, payments &amp; statements, title &amp; ownership changes, or more options.</v>
      </c>
      <c r="D10" s="152">
        <v>110</v>
      </c>
      <c r="E10" s="122" t="str">
        <f>VLOOKUP(Table257552526910134344464748495657585963151817192245666771727374767778799394[[#This Row],[PEG]],Table1016[#All],3,FALSE)</f>
        <v>MENU PROMPT</v>
      </c>
    </row>
    <row r="11" spans="1:5">
      <c r="A11" s="114">
        <v>4</v>
      </c>
      <c r="B11" s="110" t="s">
        <v>124</v>
      </c>
      <c r="C11" s="151" t="s">
        <v>486</v>
      </c>
      <c r="D11" s="152"/>
      <c r="E11" s="122" t="e">
        <f>VLOOKUP(Table257552526910134344464748495657585963151817192245666771727374767778799394[[#This Row],[PEG]],Table1016[#All],3,FALSE)</f>
        <v>#N/A</v>
      </c>
    </row>
    <row r="12" spans="1:5" ht="30">
      <c r="A12" s="114">
        <v>5</v>
      </c>
      <c r="B12" s="110" t="s">
        <v>115</v>
      </c>
      <c r="C12" s="105" t="str">
        <f>VLOOKUP(Table257552526910134344464748495657585963151817192245666771727374767778799394[[#This Row],[PEG]],Table1016[#All],2,FALSE)</f>
        <v>0300-1.wav You can say ownership changes, check status, make a payment, or help me with something else. Which would you like?</v>
      </c>
      <c r="D12" s="152">
        <v>300</v>
      </c>
      <c r="E12" s="122" t="str">
        <f>VLOOKUP(Table257552526910134344464748495657585963151817192245666771727374767778799394[[#This Row],[PEG]],Table1016[#All],3,FALSE)</f>
        <v>MENU PROMPT</v>
      </c>
    </row>
    <row r="13" spans="1:5">
      <c r="A13" s="114">
        <v>6</v>
      </c>
      <c r="B13" s="110" t="s">
        <v>124</v>
      </c>
      <c r="C13" s="105" t="s">
        <v>533</v>
      </c>
      <c r="D13" s="125"/>
      <c r="E13" s="122" t="e">
        <f>VLOOKUP(Table257552526910134344464748495657585963151817192245666771727374767778799394[[#This Row],[PEG]],Table1016[#All],3,FALSE)</f>
        <v>#N/A</v>
      </c>
    </row>
    <row r="14" spans="1:5">
      <c r="A14" s="114">
        <v>7</v>
      </c>
      <c r="B14" s="110" t="s">
        <v>115</v>
      </c>
      <c r="C14" s="105" t="str">
        <f>VLOOKUP(Table257552526910134344464748495657585963151817192245666771727374767778799394[[#This Row],[PEG]],Table1016[#All],2,FALSE)</f>
        <v>0200-1.wav To get started, what is your account number?</v>
      </c>
      <c r="D14" s="153">
        <v>200</v>
      </c>
      <c r="E14" s="122" t="str">
        <f>VLOOKUP(Table257552526910134344464748495657585963151817192245666771727374767778799394[[#This Row],[PEG]],Table1016[#All],3,FALSE)</f>
        <v>MENU PROMPT</v>
      </c>
    </row>
    <row r="15" spans="1:5">
      <c r="A15" s="114">
        <v>8</v>
      </c>
      <c r="B15" s="110" t="s">
        <v>114</v>
      </c>
      <c r="C15" s="151" t="s">
        <v>483</v>
      </c>
      <c r="D15" s="112"/>
      <c r="E15" s="122" t="e">
        <f>VLOOKUP(Table257552526910134344464748495657585963151817192245666771727374767778799394[[#This Row],[PEG]],Table1016[#All],3,FALSE)</f>
        <v>#N/A</v>
      </c>
    </row>
    <row r="16" spans="1:5">
      <c r="A16" s="114">
        <v>9</v>
      </c>
      <c r="B16" s="110" t="s">
        <v>115</v>
      </c>
      <c r="C16" s="105" t="str">
        <f>VLOOKUP(Table257552526910134344464748495657585963151817192245666771727374767778799394[[#This Row],[PEG]],Table1016[#All],2,FALSE)</f>
        <v>0210-1.wav And the date of birth for the primary owner?</v>
      </c>
      <c r="D16" s="154">
        <v>210</v>
      </c>
      <c r="E16" s="122" t="str">
        <f>VLOOKUP(Table257552526910134344464748495657585963151817192245666771727374767778799394[[#This Row],[PEG]],Table1016[#All],3,FALSE)</f>
        <v>MENU PROMPT</v>
      </c>
    </row>
    <row r="17" spans="1:5">
      <c r="A17" s="114">
        <v>10</v>
      </c>
      <c r="B17" s="110" t="s">
        <v>124</v>
      </c>
      <c r="C17" s="105" t="s">
        <v>534</v>
      </c>
      <c r="D17" s="113"/>
      <c r="E17" s="122" t="e">
        <f>VLOOKUP(Table257552526910134344464748495657585963151817192245666771727374767778799394[[#This Row],[PEG]],Table1016[#All],3,FALSE)</f>
        <v>#N/A</v>
      </c>
    </row>
    <row r="18" spans="1:5" ht="45">
      <c r="A18" s="114">
        <v>11</v>
      </c>
      <c r="B18" s="110" t="s">
        <v>115</v>
      </c>
      <c r="C18" s="105" t="str">
        <f>VLOOKUP(Table257552526910134344464748495657585963151817192245666771727374767778799394[[#This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8" s="154">
        <v>320</v>
      </c>
      <c r="E18" s="122" t="str">
        <f>VLOOKUP(Table257552526910134344464748495657585963151817192245666771727374767778799394[[#This Row],[PEG]],Table1016[#All],3,FALSE)</f>
        <v>MENU PROMPT</v>
      </c>
    </row>
    <row r="19" spans="1:5">
      <c r="A19" s="114">
        <v>12</v>
      </c>
      <c r="B19" s="110" t="s">
        <v>124</v>
      </c>
      <c r="C19" s="151" t="s">
        <v>535</v>
      </c>
      <c r="D19" s="154"/>
      <c r="E19" s="122" t="e">
        <f>VLOOKUP(Table257552526910134344464748495657585963151817192245666771727374767778799394[[#This Row],[PEG]],Table1016[#All],3,FALSE)</f>
        <v>#N/A</v>
      </c>
    </row>
    <row r="20" spans="1:5" ht="75">
      <c r="A20" s="114">
        <v>13</v>
      </c>
      <c r="B20" s="110" t="s">
        <v>115</v>
      </c>
      <c r="C20" s="105" t="str">
        <f>VLOOKUP(Table257552526910134344464748495657585963151817192245666771727374767778799394[[#This Row],[PEG]],Table1016[#All],2,FALSE)</f>
        <v>Wyndham requires a $75 processing fee per account to update ownership. You can self- service by logging into your online account. You may also send a written request with the name of the owner being removed. Wyndham will send removal paperwork to be signed in front of a notary and returned. In the event of a divorce, Wyndham will not require a fee but will require supporting documentation to be mailed to 6277 Sea Harbor Drive, Orlando Florida 32821, attention, Shell Member Transfers.</v>
      </c>
      <c r="D20" s="94" t="s">
        <v>220</v>
      </c>
      <c r="E20" s="122" t="str">
        <f>VLOOKUP(Table257552526910134344464748495657585963151817192245666771727374767778799394[[#This Row],[PEG]],Table1016[#All],3,FALSE)</f>
        <v>PLAY PROMPT</v>
      </c>
    </row>
    <row r="21" spans="1:5" ht="30">
      <c r="A21" s="114">
        <v>14</v>
      </c>
      <c r="B21" s="110" t="s">
        <v>115</v>
      </c>
      <c r="C21" s="105" t="str">
        <f>VLOOKUP(Table257552526910134344464748495657585963151817192245666771727374767778799394[[#This Row],[PEG]],Table1016[#All],2,FALSE)</f>
        <v>0330-1.wav To hear this information again, say repeat that. If you would like me to send you a letter with instructions to start the process, say information letter.</v>
      </c>
      <c r="D21" s="154">
        <v>330</v>
      </c>
      <c r="E21" s="122" t="str">
        <f>VLOOKUP(Table257552526910134344464748495657585963151817192245666771727374767778799394[[#This Row],[PEG]],Table1016[#All],3,FALSE)</f>
        <v>MENU PROMPT</v>
      </c>
    </row>
    <row r="22" spans="1:5">
      <c r="A22" s="114">
        <v>15</v>
      </c>
      <c r="B22" s="110" t="s">
        <v>530</v>
      </c>
      <c r="C22" s="105" t="s">
        <v>536</v>
      </c>
      <c r="D22" s="154"/>
      <c r="E22" s="122" t="e">
        <f>VLOOKUP(Table257552526910134344464748495657585963151817192245666771727374767778799394[[#This Row],[PEG]],Table1016[#All],3,FALSE)</f>
        <v>#N/A</v>
      </c>
    </row>
    <row r="23" spans="1:5" ht="30">
      <c r="A23" s="114">
        <v>16</v>
      </c>
      <c r="B23" s="110" t="s">
        <v>115</v>
      </c>
      <c r="C23" s="105" t="str">
        <f>VLOOKUP(Table257552526910134344464748495657585963151817192245666771727374767778799394[[#This Row],[PEG]],Table1016[#All],2,FALSE)</f>
        <v>0920.wav I've processed your request. Is there anything else I can help you with today? You can say main menu or simply hang up.</v>
      </c>
      <c r="D23" s="113">
        <v>920</v>
      </c>
      <c r="E23" s="122" t="str">
        <f>VLOOKUP(Table257552526910134344464748495657585963151817192245666771727374767778799394[[#This Row],[PEG]],Table1016[#All],3,FALSE)</f>
        <v>MENU PROMPT</v>
      </c>
    </row>
    <row r="24" spans="1:5">
      <c r="A24" s="114">
        <v>17</v>
      </c>
      <c r="B24" s="110" t="s">
        <v>13</v>
      </c>
      <c r="C24" s="17" t="s">
        <v>13</v>
      </c>
      <c r="D24" s="111"/>
      <c r="E24" s="31"/>
    </row>
    <row r="25" spans="1:5">
      <c r="C25" s="25"/>
      <c r="D25" s="107" t="s">
        <v>0</v>
      </c>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5"/>
    </row>
    <row r="39" spans="3:3">
      <c r="C39" s="25"/>
    </row>
    <row r="40" spans="3:3">
      <c r="C40" s="26"/>
    </row>
    <row r="41" spans="3:3">
      <c r="C41" s="26"/>
    </row>
    <row r="42" spans="3:3">
      <c r="C42" s="26"/>
    </row>
  </sheetData>
  <mergeCells count="1">
    <mergeCell ref="A1:B1"/>
  </mergeCells>
  <conditionalFormatting sqref="C25:C9981">
    <cfRule type="expression" dxfId="4998" priority="35">
      <formula>$B25="Dial"</formula>
    </cfRule>
    <cfRule type="expression" dxfId="4997" priority="37">
      <formula>$B25="HANGUP"</formula>
    </cfRule>
  </conditionalFormatting>
  <conditionalFormatting sqref="B8">
    <cfRule type="containsText" dxfId="4996" priority="7" operator="containsText" text="Hear">
      <formula>NOT(ISERROR(SEARCH("Hear",B8)))</formula>
    </cfRule>
  </conditionalFormatting>
  <conditionalFormatting sqref="B23:B24">
    <cfRule type="containsText" dxfId="4995" priority="13" operator="containsText" text="Hear">
      <formula>NOT(ISERROR(SEARCH("Hear",B23)))</formula>
    </cfRule>
  </conditionalFormatting>
  <conditionalFormatting sqref="E24">
    <cfRule type="containsText" dxfId="4994" priority="11" operator="containsText" text="WEB SERVICE">
      <formula>NOT(ISERROR(SEARCH("WEB SERVICE",E24)))</formula>
    </cfRule>
    <cfRule type="containsText" dxfId="4993" priority="12" operator="containsText" text="DB">
      <formula>NOT(ISERROR(SEARCH("DB",E24)))</formula>
    </cfRule>
  </conditionalFormatting>
  <conditionalFormatting sqref="C24">
    <cfRule type="expression" dxfId="4992" priority="16">
      <formula>$B24="HANGUP"</formula>
    </cfRule>
    <cfRule type="expression" dxfId="4991" priority="38">
      <formula>$B24="Dial"</formula>
    </cfRule>
  </conditionalFormatting>
  <conditionalFormatting sqref="C24">
    <cfRule type="expression" dxfId="4990" priority="8">
      <formula>$B24="Speak"</formula>
    </cfRule>
  </conditionalFormatting>
  <conditionalFormatting sqref="B19:B22">
    <cfRule type="containsText" dxfId="4989" priority="3" operator="containsText" text="Hear">
      <formula>NOT(ISERROR(SEARCH("Hear",B19)))</formula>
    </cfRule>
  </conditionalFormatting>
  <conditionalFormatting sqref="B17:B18">
    <cfRule type="containsText" dxfId="4988" priority="2" operator="containsText" text="Hear">
      <formula>NOT(ISERROR(SEARCH("Hear",B17)))</formula>
    </cfRule>
  </conditionalFormatting>
  <conditionalFormatting sqref="B9:B16">
    <cfRule type="containsText" dxfId="4987" priority="1" operator="containsText" text="Hear">
      <formula>NOT(ISERROR(SEARCH("Hear",B9)))</formula>
    </cfRule>
  </conditionalFormatting>
  <hyperlinks>
    <hyperlink ref="A1" location="'Test Case Overview'!A1" display="Return to Test Case Overview" xr:uid="{00000000-0004-0000-34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7" id="{DBF9E176-E7E8-458E-8A4A-DA34BF6E1E79}">
            <xm:f>'TC1'!$B8="HANGUP"</xm:f>
            <x14:dxf>
              <font>
                <b/>
                <i val="0"/>
              </font>
            </x14:dxf>
          </x14:cfRule>
          <x14:cfRule type="expression" priority="18" id="{7F8576E2-67C3-48F9-A6D6-0DB61316984E}">
            <xm:f>'TC1'!$B8="Dial"</xm:f>
            <x14:dxf>
              <font>
                <b/>
                <i val="0"/>
                <color rgb="FFFF0000"/>
              </font>
            </x14:dxf>
          </x14:cfRule>
          <xm:sqref>C8</xm:sqref>
        </x14:conditionalFormatting>
        <x14:conditionalFormatting xmlns:xm="http://schemas.microsoft.com/office/excel/2006/main">
          <x14:cfRule type="expression" priority="19" id="{D8DE7EF0-CD8F-43FB-8906-F2A7FE9077F4}">
            <xm:f>'TC1'!$B8="Speak"</xm:f>
            <x14:dxf>
              <font>
                <b/>
                <i val="0"/>
                <color rgb="FFFF0000"/>
              </font>
            </x14:dxf>
          </x14:cfRule>
          <xm:sqref>C8</xm:sqref>
        </x14:conditionalFormatting>
        <x14:conditionalFormatting xmlns:xm="http://schemas.microsoft.com/office/excel/2006/main">
          <x14:cfRule type="containsText" priority="15" operator="containsText" text="DB" id="{F543D23E-7D58-4D96-963C-999E0794B7FF}">
            <xm:f>NOT(ISERROR(SEARCH("DB",'TC1'!E10)))</xm:f>
            <x14:dxf>
              <font>
                <color rgb="FF006100"/>
              </font>
              <fill>
                <patternFill>
                  <bgColor rgb="FFC6EFCE"/>
                </patternFill>
              </fill>
            </x14:dxf>
          </x14:cfRule>
          <x14:cfRule type="containsText" priority="20" operator="containsText" text="WEB SERVICE" id="{E37C9EC8-FD75-427B-9609-66CA68E997FD}">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314" id="{DBF9E176-E7E8-458E-8A4A-DA34BF6E1E79}">
            <xm:f>'TC1'!#REF!="HANGUP"</xm:f>
            <x14:dxf>
              <font>
                <b/>
                <i val="0"/>
              </font>
            </x14:dxf>
          </x14:cfRule>
          <x14:cfRule type="expression" priority="1315" id="{7F8576E2-67C3-48F9-A6D6-0DB61316984E}">
            <xm:f>'TC1'!#REF!="Dial"</xm:f>
            <x14:dxf>
              <font>
                <b/>
                <i val="0"/>
                <color rgb="FFFF0000"/>
              </font>
            </x14:dxf>
          </x14:cfRule>
          <xm:sqref>C13:C23</xm:sqref>
        </x14:conditionalFormatting>
        <x14:conditionalFormatting xmlns:xm="http://schemas.microsoft.com/office/excel/2006/main">
          <x14:cfRule type="expression" priority="1320" id="{D8DE7EF0-CD8F-43FB-8906-F2A7FE9077F4}">
            <xm:f>'TC1'!#REF!="Speak"</xm:f>
            <x14:dxf>
              <font>
                <b/>
                <i val="0"/>
                <color rgb="FFFF0000"/>
              </font>
            </x14:dxf>
          </x14:cfRule>
          <xm:sqref>C13:C23</xm:sqref>
        </x14:conditionalFormatting>
        <x14:conditionalFormatting xmlns:xm="http://schemas.microsoft.com/office/excel/2006/main">
          <x14:cfRule type="containsText" priority="1326" operator="containsText" text="DB" id="{F543D23E-7D58-4D96-963C-999E0794B7FF}">
            <xm:f>NOT(ISERROR(SEARCH("DB",'TC1'!#REF!)))</xm:f>
            <x14:dxf>
              <font>
                <color rgb="FF006100"/>
              </font>
              <fill>
                <patternFill>
                  <bgColor rgb="FFC6EFCE"/>
                </patternFill>
              </fill>
            </x14:dxf>
          </x14:cfRule>
          <x14:cfRule type="containsText" priority="1327" operator="containsText" text="WEB SERVICE" id="{E37C9EC8-FD75-427B-9609-66CA68E997FD}">
            <xm:f>NOT(ISERROR(SEARCH("WEB SERVICE",'TC1'!#REF!)))</xm:f>
            <x14:dxf>
              <font>
                <color rgb="FF9C0006"/>
              </font>
              <fill>
                <patternFill>
                  <bgColor rgb="FFFFC7CE"/>
                </patternFill>
              </fill>
            </x14:dxf>
          </x14:cfRule>
          <xm:sqref>E13:E23</xm:sqref>
        </x14:conditionalFormatting>
        <x14:conditionalFormatting xmlns:xm="http://schemas.microsoft.com/office/excel/2006/main">
          <x14:cfRule type="expression" priority="3780" id="{DBF9E176-E7E8-458E-8A4A-DA34BF6E1E79}">
            <xm:f>'TC1'!$B10="HANGUP"</xm:f>
            <x14:dxf>
              <font>
                <b/>
                <i val="0"/>
              </font>
            </x14:dxf>
          </x14:cfRule>
          <x14:cfRule type="expression" priority="3781" id="{7F8576E2-67C3-48F9-A6D6-0DB61316984E}">
            <xm:f>'TC1'!$B10="Dial"</xm:f>
            <x14:dxf>
              <font>
                <b/>
                <i val="0"/>
                <color rgb="FFFF0000"/>
              </font>
            </x14:dxf>
          </x14:cfRule>
          <xm:sqref>C9:C12</xm:sqref>
        </x14:conditionalFormatting>
        <x14:conditionalFormatting xmlns:xm="http://schemas.microsoft.com/office/excel/2006/main">
          <x14:cfRule type="expression" priority="3783" id="{D8DE7EF0-CD8F-43FB-8906-F2A7FE9077F4}">
            <xm:f>'TC1'!$B10="Speak"</xm:f>
            <x14:dxf>
              <font>
                <b/>
                <i val="0"/>
                <color rgb="FFFF0000"/>
              </font>
            </x14:dxf>
          </x14:cfRule>
          <xm:sqref>C9:C12</xm:sqref>
        </x14:conditionalFormatting>
      </x14:conditionalFormatting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5"/>
  <dimension ref="A1:E42"/>
  <sheetViews>
    <sheetView topLeftCell="B1" zoomScaleNormal="100" workbookViewId="0">
      <selection activeCell="C25" sqref="C25"/>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TC53</v>
      </c>
    </row>
    <row r="3" spans="1:5">
      <c r="A3" s="100" t="s">
        <v>19</v>
      </c>
      <c r="B3" s="108">
        <f ca="1">VLOOKUP(B2,Table1[#All],2,FALSE)</f>
        <v>0</v>
      </c>
    </row>
    <row r="4" spans="1:5" ht="45">
      <c r="A4" s="109" t="s">
        <v>20</v>
      </c>
      <c r="B4" s="95" t="str">
        <f ca="1">VLOOKUP(B2,Table1[#All],4,FALSE)</f>
        <v>svcArea=titleSvcs, serviceType=chgOwnership, Not in progress or complete &lt;90days. 325-S-DD-E</v>
      </c>
      <c r="C4" s="94" t="s">
        <v>537</v>
      </c>
    </row>
    <row r="5" spans="1:5" ht="45">
      <c r="A5" s="100" t="s">
        <v>6</v>
      </c>
      <c r="B5" s="89" t="str">
        <f ca="1">VLOOKUP(B2,Table1[#All],3,FALSE)</f>
        <v>CallStart Main Menu /Title /Ownership changes/ID Auth=True/ change name at ChangeMenu/send ltr/HU at Wrap menu</v>
      </c>
    </row>
    <row r="7" spans="1:5" ht="15.75">
      <c r="A7" s="96" t="s">
        <v>7</v>
      </c>
      <c r="B7" s="97" t="s">
        <v>8</v>
      </c>
      <c r="C7" s="98" t="s">
        <v>9</v>
      </c>
      <c r="D7" s="98" t="s">
        <v>14</v>
      </c>
      <c r="E7" s="99" t="s">
        <v>10</v>
      </c>
    </row>
    <row r="8" spans="1:5">
      <c r="A8" s="114">
        <v>1</v>
      </c>
      <c r="B8" s="110" t="s">
        <v>114</v>
      </c>
      <c r="C8" s="105" t="s">
        <v>125</v>
      </c>
      <c r="D8" s="125"/>
      <c r="E8" s="122" t="s">
        <v>11</v>
      </c>
    </row>
    <row r="9" spans="1:5" ht="30">
      <c r="A9" s="114">
        <v>2</v>
      </c>
      <c r="B9" s="110" t="s">
        <v>115</v>
      </c>
      <c r="C9" s="105" t="str">
        <f>VLOOKUP(Table25755252691013434446474849565758596315181719224566677172737476777879939495[[#This Row],[PEG]],Table1016[#All],2,FALSE)</f>
        <v>0100.wav Thank you for calling Shell vacations Club, we are glad you called. Please have your account number available for faster service. [To continue in Spanish, press 9]</v>
      </c>
      <c r="D9" s="149">
        <v>100</v>
      </c>
      <c r="E9" s="122" t="str">
        <f>VLOOKUP(Table25755252691013434446474849565758596315181719224566677172737476777879939495[[#This Row],[PEG]],Table1016[#All],3,FALSE)</f>
        <v>PLAY PROMPT</v>
      </c>
    </row>
    <row r="10" spans="1:5" ht="30">
      <c r="A10" s="114">
        <v>3</v>
      </c>
      <c r="B10" s="110" t="s">
        <v>115</v>
      </c>
      <c r="C10" s="157" t="str">
        <f>VLOOKUP(Table25755252691013434446474849565758596315181719224566677172737476777879939495[[#This Row],[PEG]],Table1016[#All],2,FALSE)</f>
        <v>0110-1.wav Which would you like? You can say... reservations, payments &amp; statements, title &amp; ownership changes, or more options.</v>
      </c>
      <c r="D10" s="149">
        <v>110</v>
      </c>
      <c r="E10" s="122" t="str">
        <f>VLOOKUP(Table25755252691013434446474849565758596315181719224566677172737476777879939495[[#This Row],[PEG]],Table1016[#All],3,FALSE)</f>
        <v>MENU PROMPT</v>
      </c>
    </row>
    <row r="11" spans="1:5">
      <c r="A11" s="114">
        <v>4</v>
      </c>
      <c r="B11" s="110" t="s">
        <v>124</v>
      </c>
      <c r="C11" s="151" t="s">
        <v>2</v>
      </c>
      <c r="D11" s="149"/>
      <c r="E11" s="122" t="e">
        <f>VLOOKUP(Table25755252691013434446474849565758596315181719224566677172737476777879939495[[#This Row],[PEG]],Table1016[#All],3,FALSE)</f>
        <v>#N/A</v>
      </c>
    </row>
    <row r="12" spans="1:5" ht="30">
      <c r="A12" s="114">
        <v>5</v>
      </c>
      <c r="B12" s="110" t="s">
        <v>115</v>
      </c>
      <c r="C12" s="105" t="str">
        <f>VLOOKUP(Table25755252691013434446474849565758596315181719224566677172737476777879939495[[#This Row],[PEG]],Table1016[#All],2,FALSE)</f>
        <v>0300-1.wav You can say ownership changes, check status, make a payment, or help me with something else. Which would you like?</v>
      </c>
      <c r="D12" s="149">
        <v>300</v>
      </c>
      <c r="E12" s="122" t="str">
        <f>VLOOKUP(Table25755252691013434446474849565758596315181719224566677172737476777879939495[[#This Row],[PEG]],Table1016[#All],3,FALSE)</f>
        <v>MENU PROMPT</v>
      </c>
    </row>
    <row r="13" spans="1:5">
      <c r="A13" s="114">
        <v>6</v>
      </c>
      <c r="B13" s="110" t="s">
        <v>124</v>
      </c>
      <c r="C13" s="105" t="s">
        <v>506</v>
      </c>
      <c r="D13" s="149"/>
      <c r="E13" s="122" t="e">
        <f>VLOOKUP(Table25755252691013434446474849565758596315181719224566677172737476777879939495[[#This Row],[PEG]],Table1016[#All],3,FALSE)</f>
        <v>#N/A</v>
      </c>
    </row>
    <row r="14" spans="1:5">
      <c r="A14" s="114">
        <v>7</v>
      </c>
      <c r="B14" s="110" t="s">
        <v>115</v>
      </c>
      <c r="C14" s="105" t="str">
        <f>VLOOKUP(Table25755252691013434446474849565758596315181719224566677172737476777879939495[[#This Row],[PEG]],Table1016[#All],2,FALSE)</f>
        <v>0200-1.wav To get started, what is your account number?</v>
      </c>
      <c r="D14" s="149">
        <v>200</v>
      </c>
      <c r="E14" s="122" t="str">
        <f>VLOOKUP(Table25755252691013434446474849565758596315181719224566677172737476777879939495[[#This Row],[PEG]],Table1016[#All],3,FALSE)</f>
        <v>MENU PROMPT</v>
      </c>
    </row>
    <row r="15" spans="1:5">
      <c r="A15" s="114">
        <v>8</v>
      </c>
      <c r="B15" s="110" t="s">
        <v>114</v>
      </c>
      <c r="C15" s="151" t="s">
        <v>497</v>
      </c>
      <c r="D15" s="112"/>
      <c r="E15" s="122" t="e">
        <f>VLOOKUP(Table25755252691013434446474849565758596315181719224566677172737476777879939495[[#This Row],[PEG]],Table1016[#All],3,FALSE)</f>
        <v>#N/A</v>
      </c>
    </row>
    <row r="16" spans="1:5">
      <c r="A16" s="114">
        <v>9</v>
      </c>
      <c r="B16" s="110" t="s">
        <v>115</v>
      </c>
      <c r="C16" s="105" t="str">
        <f>VLOOKUP(Table25755252691013434446474849565758596315181719224566677172737476777879939495[[#This Row],[PEG]],Table1016[#All],2,FALSE)</f>
        <v>0210-1.wav And the date of birth for the primary owner?</v>
      </c>
      <c r="D16" s="112">
        <v>210</v>
      </c>
      <c r="E16" s="122" t="str">
        <f>VLOOKUP(Table25755252691013434446474849565758596315181719224566677172737476777879939495[[#This Row],[PEG]],Table1016[#All],3,FALSE)</f>
        <v>MENU PROMPT</v>
      </c>
    </row>
    <row r="17" spans="1:5">
      <c r="A17" s="114">
        <v>10</v>
      </c>
      <c r="B17" s="110" t="s">
        <v>124</v>
      </c>
      <c r="C17" s="151" t="s">
        <v>539</v>
      </c>
      <c r="D17" s="113"/>
      <c r="E17" s="122" t="e">
        <f>VLOOKUP(Table25755252691013434446474849565758596315181719224566677172737476777879939495[[#This Row],[PEG]],Table1016[#All],3,FALSE)</f>
        <v>#N/A</v>
      </c>
    </row>
    <row r="18" spans="1:5" ht="45">
      <c r="A18" s="114">
        <v>11</v>
      </c>
      <c r="B18" s="110" t="s">
        <v>115</v>
      </c>
      <c r="C18" s="105" t="str">
        <f>VLOOKUP(Table25755252691013434446474849565758596315181719224566677172737476777879939495[[#This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8" s="113">
        <v>320</v>
      </c>
      <c r="E18" s="122" t="str">
        <f>VLOOKUP(Table25755252691013434446474849565758596315181719224566677172737476777879939495[[#This Row],[PEG]],Table1016[#All],3,FALSE)</f>
        <v>MENU PROMPT</v>
      </c>
    </row>
    <row r="19" spans="1:5">
      <c r="A19" s="114">
        <v>12</v>
      </c>
      <c r="B19" s="110" t="s">
        <v>124</v>
      </c>
      <c r="C19" s="151" t="s">
        <v>538</v>
      </c>
      <c r="D19" s="113"/>
      <c r="E19" s="122" t="e">
        <f>VLOOKUP(Table25755252691013434446474849565758596315181719224566677172737476777879939495[[#This Row],[PEG]],Table1016[#All],3,FALSE)</f>
        <v>#N/A</v>
      </c>
    </row>
    <row r="20" spans="1:5" ht="75">
      <c r="A20" s="114">
        <v>13</v>
      </c>
      <c r="B20" s="110" t="s">
        <v>115</v>
      </c>
      <c r="C20" s="105" t="str">
        <f>VLOOKUP(Table25755252691013434446474849565758596315181719224566677172737476777879939495[[#This Row],[PEG]],Table1016[#All],2,FALSE)</f>
        <v>Wyndham requires a new recorded deed from the county where you own the property showing the name change. We recommend that you use a licensed professional to execute the document. In addition, a copy of the court documents such as a marriage certificate or divorce decree to be submitted along with a government issued ID showing your name change. Please send the information to 6277 Sea Harbor Drive, Orlando Florida 32821, attention, Shell Member Transfers or via email to shellmembertransfers@wyn.com.</v>
      </c>
      <c r="D20" s="113" t="s">
        <v>219</v>
      </c>
      <c r="E20" s="122" t="str">
        <f>VLOOKUP(Table25755252691013434446474849565758596315181719224566677172737476777879939495[[#This Row],[PEG]],Table1016[#All],3,FALSE)</f>
        <v>PLAY PROMPT</v>
      </c>
    </row>
    <row r="21" spans="1:5" ht="30">
      <c r="A21" s="114">
        <v>14</v>
      </c>
      <c r="B21" s="110" t="s">
        <v>115</v>
      </c>
      <c r="C21" s="105" t="str">
        <f>VLOOKUP(Table25755252691013434446474849565758596315181719224566677172737476777879939495[[#This Row],[PEG]],Table1016[#All],2,FALSE)</f>
        <v>0330-1.wav To hear this information again, say repeat that. If you would like me to send you a letter with instructions to start the process, say information letter.</v>
      </c>
      <c r="D21" s="113">
        <v>330</v>
      </c>
      <c r="E21" s="122" t="str">
        <f>VLOOKUP(Table25755252691013434446474849565758596315181719224566677172737476777879939495[[#This Row],[PEG]],Table1016[#All],3,FALSE)</f>
        <v>MENU PROMPT</v>
      </c>
    </row>
    <row r="22" spans="1:5">
      <c r="A22" s="114">
        <v>15</v>
      </c>
      <c r="B22" s="110" t="s">
        <v>124</v>
      </c>
      <c r="C22" s="151" t="s">
        <v>536</v>
      </c>
      <c r="D22" s="113"/>
      <c r="E22" s="122" t="e">
        <f>VLOOKUP(Table25755252691013434446474849565758596315181719224566677172737476777879939495[[#This Row],[PEG]],Table1016[#All],3,FALSE)</f>
        <v>#N/A</v>
      </c>
    </row>
    <row r="23" spans="1:5" ht="30">
      <c r="A23" s="114">
        <v>16</v>
      </c>
      <c r="B23" s="110" t="s">
        <v>115</v>
      </c>
      <c r="C23" s="105" t="str">
        <f>VLOOKUP(Table25755252691013434446474849565758596315181719224566677172737476777879939495[[#This Row],[PEG]],Table1016[#All],2,FALSE)</f>
        <v>0920.wav I've processed your request. Is there anything else I can help you with today? You can say main menu or simply hang up.</v>
      </c>
      <c r="D23" s="113">
        <v>920</v>
      </c>
      <c r="E23" s="122" t="str">
        <f>VLOOKUP(Table25755252691013434446474849565758596315181719224566677172737476777879939495[[#This Row],[PEG]],Table1016[#All],3,FALSE)</f>
        <v>MENU PROMPT</v>
      </c>
    </row>
    <row r="24" spans="1:5">
      <c r="A24" s="114">
        <v>17</v>
      </c>
      <c r="B24" s="110" t="s">
        <v>13</v>
      </c>
      <c r="C24" s="17" t="s">
        <v>13</v>
      </c>
      <c r="D24" s="111"/>
      <c r="E24" s="31"/>
    </row>
    <row r="25" spans="1:5">
      <c r="C25" s="25"/>
      <c r="D25" s="107" t="s">
        <v>0</v>
      </c>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5"/>
    </row>
    <row r="39" spans="3:3">
      <c r="C39" s="25"/>
    </row>
    <row r="40" spans="3:3">
      <c r="C40" s="26"/>
    </row>
    <row r="41" spans="3:3">
      <c r="C41" s="26"/>
    </row>
    <row r="42" spans="3:3">
      <c r="C42" s="26"/>
    </row>
  </sheetData>
  <mergeCells count="1">
    <mergeCell ref="A1:B1"/>
  </mergeCells>
  <conditionalFormatting sqref="C25:C9981">
    <cfRule type="expression" dxfId="4964" priority="29">
      <formula>$B25="Dial"</formula>
    </cfRule>
    <cfRule type="expression" dxfId="4963" priority="31">
      <formula>$B25="HANGUP"</formula>
    </cfRule>
  </conditionalFormatting>
  <conditionalFormatting sqref="B8:B18">
    <cfRule type="containsText" dxfId="4962" priority="1" operator="containsText" text="Hear">
      <formula>NOT(ISERROR(SEARCH("Hear",B8)))</formula>
    </cfRule>
  </conditionalFormatting>
  <conditionalFormatting sqref="B19:B24">
    <cfRule type="containsText" dxfId="4961" priority="7" operator="containsText" text="Hear">
      <formula>NOT(ISERROR(SEARCH("Hear",B19)))</formula>
    </cfRule>
  </conditionalFormatting>
  <conditionalFormatting sqref="E24">
    <cfRule type="containsText" dxfId="4960" priority="5" operator="containsText" text="WEB SERVICE">
      <formula>NOT(ISERROR(SEARCH("WEB SERVICE",E24)))</formula>
    </cfRule>
    <cfRule type="containsText" dxfId="4959" priority="6" operator="containsText" text="DB">
      <formula>NOT(ISERROR(SEARCH("DB",E24)))</formula>
    </cfRule>
  </conditionalFormatting>
  <conditionalFormatting sqref="C24">
    <cfRule type="expression" dxfId="4958" priority="10">
      <formula>$B24="HANGUP"</formula>
    </cfRule>
  </conditionalFormatting>
  <hyperlinks>
    <hyperlink ref="A1" location="'Test Case Overview'!A1" display="Return to Test Case Overview" xr:uid="{00000000-0004-0000-35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1" id="{482B8DAA-6F2B-4C11-AA7A-DD4150AD9CF2}">
            <xm:f>'TC1'!$B8="HANGUP"</xm:f>
            <x14:dxf>
              <font>
                <b/>
                <i val="0"/>
              </font>
            </x14:dxf>
          </x14:cfRule>
          <x14:cfRule type="expression" priority="12" id="{8FDEFE94-6A5E-4DD2-AA5F-2039DBB0B13E}">
            <xm:f>'TC1'!$B8="Dial"</xm:f>
            <x14:dxf>
              <font>
                <b/>
                <i val="0"/>
                <color rgb="FFFF0000"/>
              </font>
            </x14:dxf>
          </x14:cfRule>
          <xm:sqref>C8</xm:sqref>
        </x14:conditionalFormatting>
        <x14:conditionalFormatting xmlns:xm="http://schemas.microsoft.com/office/excel/2006/main">
          <x14:cfRule type="expression" priority="13" id="{BE22B5AB-67DE-4517-BB2E-FE96F48878F0}">
            <xm:f>'TC1'!$B8="Speak"</xm:f>
            <x14:dxf>
              <font>
                <b/>
                <i val="0"/>
                <color rgb="FFFF0000"/>
              </font>
            </x14:dxf>
          </x14:cfRule>
          <xm:sqref>C8</xm:sqref>
        </x14:conditionalFormatting>
        <x14:conditionalFormatting xmlns:xm="http://schemas.microsoft.com/office/excel/2006/main">
          <x14:cfRule type="containsText" priority="9" operator="containsText" text="DB" id="{C2460CAC-E2AD-49E7-A1DC-A81C188282F1}">
            <xm:f>NOT(ISERROR(SEARCH("DB",'TC1'!E10)))</xm:f>
            <x14:dxf>
              <font>
                <color rgb="FF006100"/>
              </font>
              <fill>
                <patternFill>
                  <bgColor rgb="FFC6EFCE"/>
                </patternFill>
              </fill>
            </x14:dxf>
          </x14:cfRule>
          <x14:cfRule type="containsText" priority="14" operator="containsText" text="WEB SERVICE" id="{3E296E4B-23D9-41C0-B273-300BF2412D8E}">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328" id="{482B8DAA-6F2B-4C11-AA7A-DD4150AD9CF2}">
            <xm:f>'TC1'!#REF!="HANGUP"</xm:f>
            <x14:dxf>
              <font>
                <b/>
                <i val="0"/>
              </font>
            </x14:dxf>
          </x14:cfRule>
          <x14:cfRule type="expression" priority="1329" id="{8FDEFE94-6A5E-4DD2-AA5F-2039DBB0B13E}">
            <xm:f>'TC1'!#REF!="Dial"</xm:f>
            <x14:dxf>
              <font>
                <b/>
                <i val="0"/>
                <color rgb="FFFF0000"/>
              </font>
            </x14:dxf>
          </x14:cfRule>
          <xm:sqref>C13:C23</xm:sqref>
        </x14:conditionalFormatting>
        <x14:conditionalFormatting xmlns:xm="http://schemas.microsoft.com/office/excel/2006/main">
          <x14:cfRule type="expression" priority="1334" id="{BE22B5AB-67DE-4517-BB2E-FE96F48878F0}">
            <xm:f>'TC1'!#REF!="Speak"</xm:f>
            <x14:dxf>
              <font>
                <b/>
                <i val="0"/>
                <color rgb="FFFF0000"/>
              </font>
            </x14:dxf>
          </x14:cfRule>
          <xm:sqref>C13:C23</xm:sqref>
        </x14:conditionalFormatting>
        <x14:conditionalFormatting xmlns:xm="http://schemas.microsoft.com/office/excel/2006/main">
          <x14:cfRule type="containsText" priority="1340" operator="containsText" text="DB" id="{C2460CAC-E2AD-49E7-A1DC-A81C188282F1}">
            <xm:f>NOT(ISERROR(SEARCH("DB",'TC1'!#REF!)))</xm:f>
            <x14:dxf>
              <font>
                <color rgb="FF006100"/>
              </font>
              <fill>
                <patternFill>
                  <bgColor rgb="FFC6EFCE"/>
                </patternFill>
              </fill>
            </x14:dxf>
          </x14:cfRule>
          <x14:cfRule type="containsText" priority="1341" operator="containsText" text="WEB SERVICE" id="{3E296E4B-23D9-41C0-B273-300BF2412D8E}">
            <xm:f>NOT(ISERROR(SEARCH("WEB SERVICE",'TC1'!#REF!)))</xm:f>
            <x14:dxf>
              <font>
                <color rgb="FF9C0006"/>
              </font>
              <fill>
                <patternFill>
                  <bgColor rgb="FFFFC7CE"/>
                </patternFill>
              </fill>
            </x14:dxf>
          </x14:cfRule>
          <xm:sqref>E13:E23</xm:sqref>
        </x14:conditionalFormatting>
        <x14:conditionalFormatting xmlns:xm="http://schemas.microsoft.com/office/excel/2006/main">
          <x14:cfRule type="expression" priority="3782" id="{482B8DAA-6F2B-4C11-AA7A-DD4150AD9CF2}">
            <xm:f>'TC1'!$B10="HANGUP"</xm:f>
            <x14:dxf>
              <font>
                <b/>
                <i val="0"/>
              </font>
            </x14:dxf>
          </x14:cfRule>
          <x14:cfRule type="expression" priority="3783" id="{8FDEFE94-6A5E-4DD2-AA5F-2039DBB0B13E}">
            <xm:f>'TC1'!$B10="Dial"</xm:f>
            <x14:dxf>
              <font>
                <b/>
                <i val="0"/>
                <color rgb="FFFF0000"/>
              </font>
            </x14:dxf>
          </x14:cfRule>
          <xm:sqref>C9:C12</xm:sqref>
        </x14:conditionalFormatting>
        <x14:conditionalFormatting xmlns:xm="http://schemas.microsoft.com/office/excel/2006/main">
          <x14:cfRule type="expression" priority="3785" id="{BE22B5AB-67DE-4517-BB2E-FE96F48878F0}">
            <xm:f>'TC1'!$B10="Speak"</xm:f>
            <x14:dxf>
              <font>
                <b/>
                <i val="0"/>
                <color rgb="FFFF0000"/>
              </font>
            </x14:dxf>
          </x14:cfRule>
          <xm:sqref>C9:C12</xm:sqref>
        </x14:conditionalFormatting>
      </x14:conditionalFormatting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6"/>
  <dimension ref="A1:E42"/>
  <sheetViews>
    <sheetView zoomScaleNormal="100" workbookViewId="0">
      <selection activeCell="C12" sqref="C12"/>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TC54</v>
      </c>
    </row>
    <row r="3" spans="1:5">
      <c r="A3" s="100" t="s">
        <v>19</v>
      </c>
      <c r="B3" s="108">
        <f ca="1">VLOOKUP(B2,Table1[#All],2,FALSE)</f>
        <v>0</v>
      </c>
    </row>
    <row r="4" spans="1:5" ht="45">
      <c r="A4" s="109" t="s">
        <v>20</v>
      </c>
      <c r="B4" s="95" t="str">
        <f ca="1">VLOOKUP(B2,Table1[#All],4,FALSE)</f>
        <v>svcArea=titleSvcs, serviceType=chgOwnership, Not in progress or complete &lt;90days. 325-S-ND-X</v>
      </c>
      <c r="C4" s="94" t="s">
        <v>228</v>
      </c>
    </row>
    <row r="5" spans="1:5" ht="45">
      <c r="A5" s="100" t="s">
        <v>6</v>
      </c>
      <c r="B5" s="89" t="str">
        <f ca="1">VLOOKUP(B2,Table1[#All],3,FALSE)</f>
        <v>CallStart Main Menu /Title /Ownership changes/ID Auth=True/ transfer owner at ChangeMenu/send ltr/HU at Wrap menu</v>
      </c>
    </row>
    <row r="7" spans="1:5" ht="15.75">
      <c r="A7" s="96" t="s">
        <v>7</v>
      </c>
      <c r="B7" s="97" t="s">
        <v>8</v>
      </c>
      <c r="C7" s="98" t="s">
        <v>9</v>
      </c>
      <c r="D7" s="98" t="s">
        <v>14</v>
      </c>
      <c r="E7" s="99" t="s">
        <v>10</v>
      </c>
    </row>
    <row r="8" spans="1:5">
      <c r="A8" s="114">
        <v>1</v>
      </c>
      <c r="B8" s="110" t="s">
        <v>114</v>
      </c>
      <c r="C8" s="105" t="s">
        <v>125</v>
      </c>
      <c r="D8" s="125"/>
      <c r="E8" s="122" t="s">
        <v>11</v>
      </c>
    </row>
    <row r="9" spans="1:5" ht="30">
      <c r="A9" s="114">
        <v>2</v>
      </c>
      <c r="B9" s="110" t="s">
        <v>115</v>
      </c>
      <c r="C9" s="105" t="str">
        <f>VLOOKUP(Table2575525269101343444647484956575859631518171922456667717273747677787993949596[[#This Row],[PEG]],Table1016[#All],2,FALSE)</f>
        <v>0100.wav Thank you for calling Shell vacations Club, we are glad you called. Please have your account number available for faster service. [To continue in Spanish, press 9]</v>
      </c>
      <c r="D9" s="145">
        <v>100</v>
      </c>
      <c r="E9" s="122" t="str">
        <f>VLOOKUP(Table2575525269101343444647484956575859631518171922456667717273747677787993949596[[#This Row],[PEG]],Table1016[#All],3,FALSE)</f>
        <v>PLAY PROMPT</v>
      </c>
    </row>
    <row r="10" spans="1:5" ht="30">
      <c r="A10" s="114">
        <v>3</v>
      </c>
      <c r="B10" s="110" t="s">
        <v>115</v>
      </c>
      <c r="C10" s="105" t="str">
        <f>VLOOKUP(Table2575525269101343444647484956575859631518171922456667717273747677787993949596[[#This Row],[PEG]],Table1016[#All],2,FALSE)</f>
        <v>0110-1.wav Which would you like? You can say... reservations, payments &amp; statements, title &amp; ownership changes, or more options.</v>
      </c>
      <c r="D10" s="145">
        <v>110</v>
      </c>
      <c r="E10" s="122" t="str">
        <f>VLOOKUP(Table2575525269101343444647484956575859631518171922456667717273747677787993949596[[#This Row],[PEG]],Table1016[#All],3,FALSE)</f>
        <v>MENU PROMPT</v>
      </c>
    </row>
    <row r="11" spans="1:5">
      <c r="A11" s="114">
        <v>4</v>
      </c>
      <c r="B11" s="110" t="s">
        <v>124</v>
      </c>
      <c r="C11" s="151" t="s">
        <v>540</v>
      </c>
      <c r="D11" s="145"/>
      <c r="E11" s="122" t="e">
        <f>VLOOKUP(Table2575525269101343444647484956575859631518171922456667717273747677787993949596[[#This Row],[PEG]],Table1016[#All],3,FALSE)</f>
        <v>#N/A</v>
      </c>
    </row>
    <row r="12" spans="1:5" ht="30">
      <c r="A12" s="114">
        <v>5</v>
      </c>
      <c r="B12" s="110" t="s">
        <v>115</v>
      </c>
      <c r="C12" s="156" t="str">
        <f>VLOOKUP(Table2575525269101343444647484956575859631518171922456667717273747677787993949596[[#This Row],[PEG]],Table1016[#All],2,FALSE)</f>
        <v>0300-1.wav You can say ownership changes, check status, make a payment, or help me with something else. Which would you like?</v>
      </c>
      <c r="D12" s="145">
        <v>300</v>
      </c>
      <c r="E12" s="122" t="str">
        <f>VLOOKUP(Table2575525269101343444647484956575859631518171922456667717273747677787993949596[[#This Row],[PEG]],Table1016[#All],3,FALSE)</f>
        <v>MENU PROMPT</v>
      </c>
    </row>
    <row r="13" spans="1:5">
      <c r="A13" s="114">
        <v>6</v>
      </c>
      <c r="B13" s="110" t="s">
        <v>124</v>
      </c>
      <c r="C13" s="151" t="s">
        <v>506</v>
      </c>
      <c r="D13" s="145"/>
      <c r="E13" s="122" t="e">
        <f>VLOOKUP(Table2575525269101343444647484956575859631518171922456667717273747677787993949596[[#This Row],[PEG]],Table1016[#All],3,FALSE)</f>
        <v>#N/A</v>
      </c>
    </row>
    <row r="14" spans="1:5">
      <c r="A14" s="114">
        <v>7</v>
      </c>
      <c r="B14" s="110" t="s">
        <v>115</v>
      </c>
      <c r="C14" s="105" t="str">
        <f>VLOOKUP(Table2575525269101343444647484956575859631518171922456667717273747677787993949596[[#This Row],[PEG]],Table1016[#All],2,FALSE)</f>
        <v>0200-1.wav To get started, what is your account number?</v>
      </c>
      <c r="D14" s="145">
        <v>200</v>
      </c>
      <c r="E14" s="122" t="str">
        <f>VLOOKUP(Table2575525269101343444647484956575859631518171922456667717273747677787993949596[[#This Row],[PEG]],Table1016[#All],3,FALSE)</f>
        <v>MENU PROMPT</v>
      </c>
    </row>
    <row r="15" spans="1:5">
      <c r="A15" s="114">
        <v>8</v>
      </c>
      <c r="B15" s="110" t="s">
        <v>114</v>
      </c>
      <c r="C15" s="151" t="s">
        <v>497</v>
      </c>
      <c r="D15" s="112"/>
      <c r="E15" s="122" t="e">
        <f>VLOOKUP(Table2575525269101343444647484956575859631518171922456667717273747677787993949596[[#This Row],[PEG]],Table1016[#All],3,FALSE)</f>
        <v>#N/A</v>
      </c>
    </row>
    <row r="16" spans="1:5">
      <c r="A16" s="114">
        <v>9</v>
      </c>
      <c r="B16" s="110" t="s">
        <v>115</v>
      </c>
      <c r="C16" s="105" t="str">
        <f>VLOOKUP(Table2575525269101343444647484956575859631518171922456667717273747677787993949596[[#This Row],[PEG]],Table1016[#All],2,FALSE)</f>
        <v>0210-1.wav And the date of birth for the primary owner?</v>
      </c>
      <c r="D16" s="112">
        <v>210</v>
      </c>
      <c r="E16" s="122" t="str">
        <f>VLOOKUP(Table2575525269101343444647484956575859631518171922456667717273747677787993949596[[#This Row],[PEG]],Table1016[#All],3,FALSE)</f>
        <v>MENU PROMPT</v>
      </c>
    </row>
    <row r="17" spans="1:5">
      <c r="A17" s="114">
        <v>10</v>
      </c>
      <c r="B17" s="110" t="s">
        <v>124</v>
      </c>
      <c r="C17" s="151" t="s">
        <v>539</v>
      </c>
      <c r="D17" s="113"/>
      <c r="E17" s="122" t="e">
        <f>VLOOKUP(Table2575525269101343444647484956575859631518171922456667717273747677787993949596[[#This Row],[PEG]],Table1016[#All],3,FALSE)</f>
        <v>#N/A</v>
      </c>
    </row>
    <row r="18" spans="1:5" ht="45">
      <c r="A18" s="114">
        <v>11</v>
      </c>
      <c r="B18" s="110" t="s">
        <v>115</v>
      </c>
      <c r="C18" s="105" t="str">
        <f>VLOOKUP(Table2575525269101343444647484956575859631518171922456667717273747677787993949596[[#This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8" s="113">
        <v>320</v>
      </c>
      <c r="E18" s="122" t="str">
        <f>VLOOKUP(Table2575525269101343444647484956575859631518171922456667717273747677787993949596[[#This Row],[PEG]],Table1016[#All],3,FALSE)</f>
        <v>MENU PROMPT</v>
      </c>
    </row>
    <row r="19" spans="1:5">
      <c r="A19" s="114">
        <v>12</v>
      </c>
      <c r="B19" s="110" t="s">
        <v>124</v>
      </c>
      <c r="C19" s="151" t="s">
        <v>507</v>
      </c>
      <c r="D19" s="113"/>
      <c r="E19" s="122" t="e">
        <f>VLOOKUP(Table2575525269101343444647484956575859631518171922456667717273747677787993949596[[#This Row],[PEG]],Table1016[#All],3,FALSE)</f>
        <v>#N/A</v>
      </c>
    </row>
    <row r="20" spans="1:5" ht="75">
      <c r="A20" s="114">
        <v>13</v>
      </c>
      <c r="B20" s="110" t="s">
        <v>115</v>
      </c>
      <c r="C20" s="105" t="str">
        <f>VLOOKUP(Table2575525269101343444647484956575859631518171922456667717273747677787993949596[[#This Row],[PEG]],Table1016[#All],2,FALSE)</f>
        <v>Wyndham requires a $75 processing fee per account to update ownership. You can self-service by logging into your online account. You may also send a written request with each of the new owner's, first and last name, address, phone number, email address, date of birth, and copy of government issued ID. Please send the information to 6277 Sea Harbor Drive, Orlando Florida 32821, attention, Shell Member Transfers. Once the information and fee is received, Wyndham will send transfer paperwork to be signed in front of a notary and returned.</v>
      </c>
      <c r="D20" s="113" t="s">
        <v>228</v>
      </c>
      <c r="E20" s="122" t="str">
        <f>VLOOKUP(Table2575525269101343444647484956575859631518171922456667717273747677787993949596[[#This Row],[PEG]],Table1016[#All],3,FALSE)</f>
        <v>PLAY PROMPT</v>
      </c>
    </row>
    <row r="21" spans="1:5" ht="30">
      <c r="A21" s="114">
        <v>14</v>
      </c>
      <c r="B21" s="110" t="s">
        <v>115</v>
      </c>
      <c r="C21" s="105" t="str">
        <f>VLOOKUP(Table2575525269101343444647484956575859631518171922456667717273747677787993949596[[#This Row],[PEG]],Table1016[#All],2,FALSE)</f>
        <v>0330-1.wav To hear this information again, say repeat that. If you would like me to send you a letter with instructions to start the process, say information letter.</v>
      </c>
      <c r="D21" s="113">
        <v>330</v>
      </c>
      <c r="E21" s="122" t="str">
        <f>VLOOKUP(Table2575525269101343444647484956575859631518171922456667717273747677787993949596[[#This Row],[PEG]],Table1016[#All],3,FALSE)</f>
        <v>MENU PROMPT</v>
      </c>
    </row>
    <row r="22" spans="1:5">
      <c r="A22" s="114">
        <v>15</v>
      </c>
      <c r="B22" s="110" t="s">
        <v>124</v>
      </c>
      <c r="C22" s="151" t="s">
        <v>531</v>
      </c>
      <c r="D22" s="113"/>
      <c r="E22" s="122" t="e">
        <f>VLOOKUP(Table2575525269101343444647484956575859631518171922456667717273747677787993949596[[#This Row],[PEG]],Table1016[#All],3,FALSE)</f>
        <v>#N/A</v>
      </c>
    </row>
    <row r="23" spans="1:5" ht="30">
      <c r="A23" s="114">
        <v>16</v>
      </c>
      <c r="B23" s="110" t="s">
        <v>115</v>
      </c>
      <c r="C23" s="105" t="str">
        <f>VLOOKUP(Table2575525269101343444647484956575859631518171922456667717273747677787993949596[[#This Row],[PEG]],Table1016[#All],2,FALSE)</f>
        <v>0920.wav I've processed your request. Is there anything else I can help you with today? You can say main menu or simply hang up.</v>
      </c>
      <c r="D23" s="113">
        <v>920</v>
      </c>
      <c r="E23" s="122" t="str">
        <f>VLOOKUP(Table2575525269101343444647484956575859631518171922456667717273747677787993949596[[#This Row],[PEG]],Table1016[#All],3,FALSE)</f>
        <v>MENU PROMPT</v>
      </c>
    </row>
    <row r="24" spans="1:5">
      <c r="A24" s="114">
        <v>17</v>
      </c>
      <c r="B24" s="110" t="s">
        <v>13</v>
      </c>
      <c r="C24" s="17" t="s">
        <v>13</v>
      </c>
      <c r="D24" s="111"/>
      <c r="E24" s="31"/>
    </row>
    <row r="25" spans="1:5">
      <c r="C25" s="25"/>
      <c r="D25" s="107" t="s">
        <v>0</v>
      </c>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5"/>
    </row>
    <row r="39" spans="3:3">
      <c r="C39" s="25"/>
    </row>
    <row r="40" spans="3:3">
      <c r="C40" s="26"/>
    </row>
    <row r="41" spans="3:3">
      <c r="C41" s="26"/>
    </row>
    <row r="42" spans="3:3">
      <c r="C42" s="26"/>
    </row>
  </sheetData>
  <mergeCells count="1">
    <mergeCell ref="A1:B1"/>
  </mergeCells>
  <conditionalFormatting sqref="C25:C9981">
    <cfRule type="expression" dxfId="4935" priority="58">
      <formula>$B25="Dial"</formula>
    </cfRule>
    <cfRule type="expression" dxfId="4934" priority="60">
      <formula>$B25="HANGUP"</formula>
    </cfRule>
  </conditionalFormatting>
  <conditionalFormatting sqref="B8">
    <cfRule type="containsText" dxfId="4933" priority="12" operator="containsText" text="Hear">
      <formula>NOT(ISERROR(SEARCH("Hear",B8)))</formula>
    </cfRule>
  </conditionalFormatting>
  <conditionalFormatting sqref="B24">
    <cfRule type="containsText" dxfId="4932" priority="18" operator="containsText" text="Hear">
      <formula>NOT(ISERROR(SEARCH("Hear",B24)))</formula>
    </cfRule>
  </conditionalFormatting>
  <conditionalFormatting sqref="E24">
    <cfRule type="containsText" dxfId="4931" priority="16" operator="containsText" text="WEB SERVICE">
      <formula>NOT(ISERROR(SEARCH("WEB SERVICE",E24)))</formula>
    </cfRule>
    <cfRule type="containsText" dxfId="4930" priority="17" operator="containsText" text="DB">
      <formula>NOT(ISERROR(SEARCH("DB",E24)))</formula>
    </cfRule>
  </conditionalFormatting>
  <conditionalFormatting sqref="C24">
    <cfRule type="expression" dxfId="4929" priority="21">
      <formula>$B24="HANGUP"</formula>
    </cfRule>
    <cfRule type="expression" dxfId="4928" priority="61">
      <formula>$B24="Dial"</formula>
    </cfRule>
  </conditionalFormatting>
  <conditionalFormatting sqref="C24">
    <cfRule type="expression" dxfId="4927" priority="13">
      <formula>$B24="Speak"</formula>
    </cfRule>
  </conditionalFormatting>
  <conditionalFormatting sqref="B9:B18">
    <cfRule type="containsText" dxfId="4926" priority="10" operator="containsText" text="Hear">
      <formula>NOT(ISERROR(SEARCH("Hear",B9)))</formula>
    </cfRule>
  </conditionalFormatting>
  <conditionalFormatting sqref="B19:B23">
    <cfRule type="containsText" dxfId="4925" priority="11" operator="containsText" text="Hear">
      <formula>NOT(ISERROR(SEARCH("Hear",B19)))</formula>
    </cfRule>
  </conditionalFormatting>
  <hyperlinks>
    <hyperlink ref="A1" location="'Test Case Overview'!A1" display="Return to Test Case Overview" xr:uid="{00000000-0004-0000-3600-000000000000}"/>
  </hyperlink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2" id="{7B87CECF-5699-417A-A485-E0F63DD06391}">
            <xm:f>'TC1'!$B8="HANGUP"</xm:f>
            <x14:dxf>
              <font>
                <b/>
                <i val="0"/>
              </font>
            </x14:dxf>
          </x14:cfRule>
          <x14:cfRule type="expression" priority="23" id="{330760E9-CA51-40AE-BAEA-7D7A1F8458E5}">
            <xm:f>'TC1'!$B8="Dial"</xm:f>
            <x14:dxf>
              <font>
                <b/>
                <i val="0"/>
                <color rgb="FFFF0000"/>
              </font>
            </x14:dxf>
          </x14:cfRule>
          <xm:sqref>C8</xm:sqref>
        </x14:conditionalFormatting>
        <x14:conditionalFormatting xmlns:xm="http://schemas.microsoft.com/office/excel/2006/main">
          <x14:cfRule type="expression" priority="24" id="{742A291E-8CCE-44E7-8C5C-29A9177CFC9F}">
            <xm:f>'TC1'!$B8="Speak"</xm:f>
            <x14:dxf>
              <font>
                <b/>
                <i val="0"/>
                <color rgb="FFFF0000"/>
              </font>
            </x14:dxf>
          </x14:cfRule>
          <xm:sqref>C8</xm:sqref>
        </x14:conditionalFormatting>
        <x14:conditionalFormatting xmlns:xm="http://schemas.microsoft.com/office/excel/2006/main">
          <x14:cfRule type="containsText" priority="20" operator="containsText" text="DB" id="{6A416EF2-CC1D-4D14-8CC4-E6056D9380AA}">
            <xm:f>NOT(ISERROR(SEARCH("DB",'TC1'!E10)))</xm:f>
            <x14:dxf>
              <font>
                <color rgb="FF006100"/>
              </font>
              <fill>
                <patternFill>
                  <bgColor rgb="FFC6EFCE"/>
                </patternFill>
              </fill>
            </x14:dxf>
          </x14:cfRule>
          <x14:cfRule type="containsText" priority="25" operator="containsText" text="WEB SERVICE" id="{255D0339-9F19-45A8-96F6-477AD0494FBD}">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359" id="{7B87CECF-5699-417A-A485-E0F63DD06391}">
            <xm:f>'TC1'!#REF!="HANGUP"</xm:f>
            <x14:dxf>
              <font>
                <b/>
                <i val="0"/>
              </font>
            </x14:dxf>
          </x14:cfRule>
          <x14:cfRule type="expression" priority="1360" id="{330760E9-CA51-40AE-BAEA-7D7A1F8458E5}">
            <xm:f>'TC1'!#REF!="Dial"</xm:f>
            <x14:dxf>
              <font>
                <b/>
                <i val="0"/>
                <color rgb="FFFF0000"/>
              </font>
            </x14:dxf>
          </x14:cfRule>
          <xm:sqref>C13:C14 C16 C18:C23</xm:sqref>
        </x14:conditionalFormatting>
        <x14:conditionalFormatting xmlns:xm="http://schemas.microsoft.com/office/excel/2006/main">
          <x14:cfRule type="expression" priority="1365" id="{742A291E-8CCE-44E7-8C5C-29A9177CFC9F}">
            <xm:f>'TC1'!#REF!="Speak"</xm:f>
            <x14:dxf>
              <font>
                <b/>
                <i val="0"/>
                <color rgb="FFFF0000"/>
              </font>
            </x14:dxf>
          </x14:cfRule>
          <xm:sqref>C13:C14 C16 C18:C23</xm:sqref>
        </x14:conditionalFormatting>
        <x14:conditionalFormatting xmlns:xm="http://schemas.microsoft.com/office/excel/2006/main">
          <x14:cfRule type="containsText" priority="1371" operator="containsText" text="DB" id="{6A416EF2-CC1D-4D14-8CC4-E6056D9380AA}">
            <xm:f>NOT(ISERROR(SEARCH("DB",'TC1'!#REF!)))</xm:f>
            <x14:dxf>
              <font>
                <color rgb="FF006100"/>
              </font>
              <fill>
                <patternFill>
                  <bgColor rgb="FFC6EFCE"/>
                </patternFill>
              </fill>
            </x14:dxf>
          </x14:cfRule>
          <x14:cfRule type="containsText" priority="1372" operator="containsText" text="WEB SERVICE" id="{255D0339-9F19-45A8-96F6-477AD0494FBD}">
            <xm:f>NOT(ISERROR(SEARCH("WEB SERVICE",'TC1'!#REF!)))</xm:f>
            <x14:dxf>
              <font>
                <color rgb="FF9C0006"/>
              </font>
              <fill>
                <patternFill>
                  <bgColor rgb="FFFFC7CE"/>
                </patternFill>
              </fill>
            </x14:dxf>
          </x14:cfRule>
          <xm:sqref>E13:E23</xm:sqref>
        </x14:conditionalFormatting>
        <x14:conditionalFormatting xmlns:xm="http://schemas.microsoft.com/office/excel/2006/main">
          <x14:cfRule type="expression" priority="3801" id="{7B87CECF-5699-417A-A485-E0F63DD06391}">
            <xm:f>'TC1'!$B10="HANGUP"</xm:f>
            <x14:dxf>
              <font>
                <b/>
                <i val="0"/>
              </font>
            </x14:dxf>
          </x14:cfRule>
          <x14:cfRule type="expression" priority="3802" id="{330760E9-CA51-40AE-BAEA-7D7A1F8458E5}">
            <xm:f>'TC1'!$B10="Dial"</xm:f>
            <x14:dxf>
              <font>
                <b/>
                <i val="0"/>
                <color rgb="FFFF0000"/>
              </font>
            </x14:dxf>
          </x14:cfRule>
          <xm:sqref>C9:C10 C12</xm:sqref>
        </x14:conditionalFormatting>
        <x14:conditionalFormatting xmlns:xm="http://schemas.microsoft.com/office/excel/2006/main">
          <x14:cfRule type="expression" priority="3804" id="{742A291E-8CCE-44E7-8C5C-29A9177CFC9F}">
            <xm:f>'TC1'!$B10="Speak"</xm:f>
            <x14:dxf>
              <font>
                <b/>
                <i val="0"/>
                <color rgb="FFFF0000"/>
              </font>
            </x14:dxf>
          </x14:cfRule>
          <xm:sqref>C9:C10 C12</xm:sqref>
        </x14:conditionalFormatting>
        <x14:conditionalFormatting xmlns:xm="http://schemas.microsoft.com/office/excel/2006/main">
          <x14:cfRule type="expression" priority="7" id="{FF1DAF05-889A-4919-B99C-AC73ADFEF351}">
            <xm:f>'TC1'!#REF!="HANGUP"</xm:f>
            <x14:dxf>
              <font>
                <b/>
                <i val="0"/>
              </font>
            </x14:dxf>
          </x14:cfRule>
          <x14:cfRule type="expression" priority="8" id="{7D1FCF32-6C79-4433-94EF-DD3B196A4034}">
            <xm:f>'TC1'!#REF!="Dial"</xm:f>
            <x14:dxf>
              <font>
                <b/>
                <i val="0"/>
                <color rgb="FFFF0000"/>
              </font>
            </x14:dxf>
          </x14:cfRule>
          <xm:sqref>C15</xm:sqref>
        </x14:conditionalFormatting>
        <x14:conditionalFormatting xmlns:xm="http://schemas.microsoft.com/office/excel/2006/main">
          <x14:cfRule type="expression" priority="9" id="{345916D3-2320-4AAC-BC98-B41675E1724A}">
            <xm:f>'TC1'!#REF!="Speak"</xm:f>
            <x14:dxf>
              <font>
                <b/>
                <i val="0"/>
                <color rgb="FFFF0000"/>
              </font>
            </x14:dxf>
          </x14:cfRule>
          <xm:sqref>C15</xm:sqref>
        </x14:conditionalFormatting>
        <x14:conditionalFormatting xmlns:xm="http://schemas.microsoft.com/office/excel/2006/main">
          <x14:cfRule type="expression" priority="4" id="{BCDE8B72-6C32-434B-A862-C411955E1201}">
            <xm:f>'TC1'!#REF!="HANGUP"</xm:f>
            <x14:dxf>
              <font>
                <b/>
                <i val="0"/>
              </font>
            </x14:dxf>
          </x14:cfRule>
          <x14:cfRule type="expression" priority="5" id="{17F0471F-DF76-4F57-B8C7-609E4DB2DA80}">
            <xm:f>'TC1'!#REF!="Dial"</xm:f>
            <x14:dxf>
              <font>
                <b/>
                <i val="0"/>
                <color rgb="FFFF0000"/>
              </font>
            </x14:dxf>
          </x14:cfRule>
          <xm:sqref>C17</xm:sqref>
        </x14:conditionalFormatting>
        <x14:conditionalFormatting xmlns:xm="http://schemas.microsoft.com/office/excel/2006/main">
          <x14:cfRule type="expression" priority="6" id="{AEB29AB8-C2BA-4ABC-801B-D3D8C8CD3337}">
            <xm:f>'TC1'!#REF!="Speak"</xm:f>
            <x14:dxf>
              <font>
                <b/>
                <i val="0"/>
                <color rgb="FFFF0000"/>
              </font>
            </x14:dxf>
          </x14:cfRule>
          <xm:sqref>C17</xm:sqref>
        </x14:conditionalFormatting>
        <x14:conditionalFormatting xmlns:xm="http://schemas.microsoft.com/office/excel/2006/main">
          <x14:cfRule type="expression" priority="1" id="{900F5090-A85D-48CB-AD62-970A5CDD1161}">
            <xm:f>'TC1'!#REF!="HANGUP"</xm:f>
            <x14:dxf>
              <font>
                <b/>
                <i val="0"/>
              </font>
            </x14:dxf>
          </x14:cfRule>
          <x14:cfRule type="expression" priority="2" id="{598515DC-E853-4A6D-817F-5ACF03093CB3}">
            <xm:f>'TC1'!#REF!="Dial"</xm:f>
            <x14:dxf>
              <font>
                <b/>
                <i val="0"/>
                <color rgb="FFFF0000"/>
              </font>
            </x14:dxf>
          </x14:cfRule>
          <xm:sqref>C11</xm:sqref>
        </x14:conditionalFormatting>
        <x14:conditionalFormatting xmlns:xm="http://schemas.microsoft.com/office/excel/2006/main">
          <x14:cfRule type="expression" priority="3" id="{B1D68BB2-FDCF-455A-8E71-785E102313D1}">
            <xm:f>'TC1'!#REF!="Speak"</xm:f>
            <x14:dxf>
              <font>
                <b/>
                <i val="0"/>
                <color rgb="FFFF0000"/>
              </font>
            </x14:dxf>
          </x14:cfRule>
          <xm:sqref>C11</xm:sqref>
        </x14:conditionalFormatting>
      </x14:conditionalFormatting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7"/>
  <dimension ref="A1:E24"/>
  <sheetViews>
    <sheetView zoomScaleNormal="100" workbookViewId="0">
      <selection activeCell="C17" sqref="C17"/>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TC55</v>
      </c>
      <c r="C2" s="94"/>
      <c r="D2" s="107"/>
      <c r="E2" s="93"/>
    </row>
    <row r="3" spans="1:5">
      <c r="A3" s="100" t="s">
        <v>19</v>
      </c>
      <c r="B3" s="108">
        <f ca="1">VLOOKUP(B2,Table1[#All],2,FALSE)</f>
        <v>0</v>
      </c>
      <c r="C3" s="94"/>
      <c r="D3" s="107"/>
      <c r="E3" s="93"/>
    </row>
    <row r="4" spans="1:5" ht="43.15" customHeight="1">
      <c r="A4" s="109" t="s">
        <v>20</v>
      </c>
      <c r="B4" s="95" t="str">
        <f ca="1">VLOOKUP(B2,Table1[#All],4,FALSE)</f>
        <v>svcArea=titleSvcs, serviceType=chgOwnership, Not in progress or complete &lt;90days. 325-S-ND-T</v>
      </c>
      <c r="C4" s="94" t="s">
        <v>224</v>
      </c>
      <c r="D4" s="107"/>
      <c r="E4" s="93"/>
    </row>
    <row r="5" spans="1:5" ht="45">
      <c r="A5" s="100" t="s">
        <v>6</v>
      </c>
      <c r="B5" s="89" t="str">
        <f ca="1">VLOOKUP(B2,Table1[#All],3,FALSE)</f>
        <v>CallStart Main Menu /Title /Ownership changes/ID Auth=True/ownership trust at ChangeMenu/send ltr/HU at Wrap Menu</v>
      </c>
      <c r="C5" s="94"/>
      <c r="D5" s="107"/>
      <c r="E5" s="93"/>
    </row>
    <row r="6" spans="1:5">
      <c r="A6" s="93"/>
      <c r="B6" s="93"/>
      <c r="C6" s="94"/>
      <c r="D6" s="107"/>
      <c r="E6" s="93"/>
    </row>
    <row r="7" spans="1:5" ht="46.9" customHeight="1">
      <c r="A7" s="96" t="s">
        <v>7</v>
      </c>
      <c r="B7" s="97" t="s">
        <v>8</v>
      </c>
      <c r="C7" s="98" t="s">
        <v>9</v>
      </c>
      <c r="D7" s="98" t="s">
        <v>14</v>
      </c>
      <c r="E7" s="99" t="s">
        <v>10</v>
      </c>
    </row>
    <row r="8" spans="1:5" ht="28.9" customHeight="1">
      <c r="A8" s="114">
        <v>1</v>
      </c>
      <c r="B8" s="110" t="s">
        <v>114</v>
      </c>
      <c r="C8" s="105" t="s">
        <v>125</v>
      </c>
      <c r="D8" s="125"/>
      <c r="E8" s="122" t="s">
        <v>11</v>
      </c>
    </row>
    <row r="9" spans="1:5" ht="30">
      <c r="A9" s="114">
        <v>2</v>
      </c>
      <c r="B9" s="110" t="s">
        <v>115</v>
      </c>
      <c r="C9" s="105" t="str">
        <f>VLOOKUP(Table2575525269101343444647484956575859631518171922456667717273747677787993949597[[#This Row],[PEG]],Table1016[#All],2,FALSE)</f>
        <v>0100.wav Thank you for calling Shell vacations Club, we are glad you called. Please have your account number available for faster service. [To continue in Spanish, press 9]</v>
      </c>
      <c r="D9" s="145">
        <v>100</v>
      </c>
      <c r="E9" s="122" t="str">
        <f>VLOOKUP(Table2575525269101343444647484956575859631518171922456667717273747677787993949597[[#This Row],[PEG]],Table1016[#All],3,FALSE)</f>
        <v>PLAY PROMPT</v>
      </c>
    </row>
    <row r="10" spans="1:5" ht="30">
      <c r="A10" s="114">
        <v>3</v>
      </c>
      <c r="B10" s="110" t="s">
        <v>115</v>
      </c>
      <c r="C10" s="105" t="str">
        <f>VLOOKUP(Table2575525269101343444647484956575859631518171922456667717273747677787993949597[[#This Row],[PEG]],Table1016[#All],2,FALSE)</f>
        <v>0110-1.wav Which would you like? You can say... reservations, payments &amp; statements, title &amp; ownership changes, or more options.</v>
      </c>
      <c r="D10" s="145">
        <v>110</v>
      </c>
      <c r="E10" s="122" t="str">
        <f>VLOOKUP(Table2575525269101343444647484956575859631518171922456667717273747677787993949597[[#This Row],[PEG]],Table1016[#All],3,FALSE)</f>
        <v>MENU PROMPT</v>
      </c>
    </row>
    <row r="11" spans="1:5">
      <c r="A11" s="114">
        <v>4</v>
      </c>
      <c r="B11" s="110" t="s">
        <v>124</v>
      </c>
      <c r="C11" s="151" t="s">
        <v>500</v>
      </c>
      <c r="D11" s="145"/>
      <c r="E11" s="122" t="e">
        <f>VLOOKUP(Table2575525269101343444647484956575859631518171922456667717273747677787993949597[[#This Row],[PEG]],Table1016[#All],3,FALSE)</f>
        <v>#N/A</v>
      </c>
    </row>
    <row r="12" spans="1:5" ht="30">
      <c r="A12" s="114">
        <v>5</v>
      </c>
      <c r="B12" s="110" t="s">
        <v>115</v>
      </c>
      <c r="C12" s="105" t="str">
        <f>VLOOKUP(Table2575525269101343444647484956575859631518171922456667717273747677787993949597[[#This Row],[PEG]],Table1016[#All],2,FALSE)</f>
        <v>0300-1.wav You can say ownership changes, check status, make a payment, or help me with something else. Which would you like?</v>
      </c>
      <c r="D12" s="145">
        <v>300</v>
      </c>
      <c r="E12" s="122" t="str">
        <f>VLOOKUP(Table2575525269101343444647484956575859631518171922456667717273747677787993949597[[#This Row],[PEG]],Table1016[#All],3,FALSE)</f>
        <v>MENU PROMPT</v>
      </c>
    </row>
    <row r="13" spans="1:5">
      <c r="A13" s="114">
        <v>6</v>
      </c>
      <c r="B13" s="110" t="s">
        <v>124</v>
      </c>
      <c r="C13" s="151" t="s">
        <v>527</v>
      </c>
      <c r="D13" s="145"/>
      <c r="E13" s="122" t="e">
        <f>VLOOKUP(Table2575525269101343444647484956575859631518171922456667717273747677787993949597[[#This Row],[PEG]],Table1016[#All],3,FALSE)</f>
        <v>#N/A</v>
      </c>
    </row>
    <row r="14" spans="1:5">
      <c r="A14" s="114">
        <v>7</v>
      </c>
      <c r="B14" s="110" t="s">
        <v>115</v>
      </c>
      <c r="C14" s="105" t="str">
        <f>VLOOKUP(Table2575525269101343444647484956575859631518171922456667717273747677787993949597[[#This Row],[PEG]],Table1016[#All],2,FALSE)</f>
        <v>0200-1.wav To get started, what is your account number?</v>
      </c>
      <c r="D14" s="145">
        <v>200</v>
      </c>
      <c r="E14" s="122" t="str">
        <f>VLOOKUP(Table2575525269101343444647484956575859631518171922456667717273747677787993949597[[#This Row],[PEG]],Table1016[#All],3,FALSE)</f>
        <v>MENU PROMPT</v>
      </c>
    </row>
    <row r="15" spans="1:5">
      <c r="A15" s="114">
        <v>8</v>
      </c>
      <c r="B15" s="110" t="s">
        <v>114</v>
      </c>
      <c r="C15" s="151" t="s">
        <v>497</v>
      </c>
      <c r="D15" s="112"/>
      <c r="E15" s="122" t="e">
        <f>VLOOKUP(Table2575525269101343444647484956575859631518171922456667717273747677787993949597[[#This Row],[PEG]],Table1016[#All],3,FALSE)</f>
        <v>#N/A</v>
      </c>
    </row>
    <row r="16" spans="1:5">
      <c r="A16" s="114">
        <v>9</v>
      </c>
      <c r="B16" s="110" t="s">
        <v>115</v>
      </c>
      <c r="C16" s="105" t="str">
        <f>VLOOKUP(Table2575525269101343444647484956575859631518171922456667717273747677787993949597[[#This Row],[PEG]],Table1016[#All],2,FALSE)</f>
        <v>0210-1.wav And the date of birth for the primary owner?</v>
      </c>
      <c r="D16" s="112">
        <v>210</v>
      </c>
      <c r="E16" s="122" t="str">
        <f>VLOOKUP(Table2575525269101343444647484956575859631518171922456667717273747677787993949597[[#This Row],[PEG]],Table1016[#All],3,FALSE)</f>
        <v>MENU PROMPT</v>
      </c>
    </row>
    <row r="17" spans="1:5">
      <c r="A17" s="114">
        <v>10</v>
      </c>
      <c r="B17" s="110" t="s">
        <v>124</v>
      </c>
      <c r="C17" s="151" t="s">
        <v>541</v>
      </c>
      <c r="D17" s="113"/>
      <c r="E17" s="122" t="e">
        <f>VLOOKUP(Table2575525269101343444647484956575859631518171922456667717273747677787993949597[[#This Row],[PEG]],Table1016[#All],3,FALSE)</f>
        <v>#N/A</v>
      </c>
    </row>
    <row r="18" spans="1:5" ht="45">
      <c r="A18" s="114">
        <v>11</v>
      </c>
      <c r="B18" s="110" t="s">
        <v>115</v>
      </c>
      <c r="C18" s="105" t="str">
        <f>VLOOKUP(Table2575525269101343444647484956575859631518171922456667717273747677787993949597[[#This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8" s="113">
        <v>320</v>
      </c>
      <c r="E18" s="122" t="str">
        <f>VLOOKUP(Table2575525269101343444647484956575859631518171922456667717273747677787993949597[[#This Row],[PEG]],Table1016[#All],3,FALSE)</f>
        <v>MENU PROMPT</v>
      </c>
    </row>
    <row r="19" spans="1:5">
      <c r="A19" s="114">
        <v>12</v>
      </c>
      <c r="B19" s="110" t="s">
        <v>124</v>
      </c>
      <c r="C19" s="151" t="s">
        <v>542</v>
      </c>
      <c r="D19" s="113"/>
      <c r="E19" s="122" t="e">
        <f>VLOOKUP(Table2575525269101343444647484956575859631518171922456667717273747677787993949597[[#This Row],[PEG]],Table1016[#All],3,FALSE)</f>
        <v>#N/A</v>
      </c>
    </row>
    <row r="20" spans="1:5" ht="105">
      <c r="A20" s="114">
        <v>13</v>
      </c>
      <c r="B20" s="110" t="s">
        <v>115</v>
      </c>
      <c r="C20" s="105" t="str">
        <f>VLOOKUP(Table2575525269101343444647484956575859631518171922456667717273747677787993949597[[#This Row],[PEG]],Table1016[#All],2,FALSE)</f>
        <v>Wyndham requires a $75 processing fee per account to update ownership. You can self-service by logging into your online account. You may also send a written request with each of the Trustee’s or company representative, first and last name, address, phone number, email address, date of birth, and copy of government issued ID. In addition, please include a copy of your trust documents or corporate documents and current certificate of good standing. Please send the information to 6277 Sea Harbor Drive, Orlando Florida 32821, attention, Shell Member Transfers. Once the information and fee is received, Wyndham will send transfer paperwork to be signed in front of a notary and returned.</v>
      </c>
      <c r="D20" s="113" t="s">
        <v>224</v>
      </c>
      <c r="E20" s="122" t="str">
        <f>VLOOKUP(Table2575525269101343444647484956575859631518171922456667717273747677787993949597[[#This Row],[PEG]],Table1016[#All],3,FALSE)</f>
        <v>PLAY PROMPT</v>
      </c>
    </row>
    <row r="21" spans="1:5" ht="30">
      <c r="A21" s="114">
        <v>14</v>
      </c>
      <c r="B21" s="110" t="s">
        <v>115</v>
      </c>
      <c r="C21" s="105" t="str">
        <f>VLOOKUP(Table2575525269101343444647484956575859631518171922456667717273747677787993949597[[#This Row],[PEG]],Table1016[#All],2,FALSE)</f>
        <v>0330-1.wav To hear this information again, say repeat that. If you would like me to send you a letter with instructions to start the process, say information letter.</v>
      </c>
      <c r="D21" s="113">
        <v>330</v>
      </c>
      <c r="E21" s="122" t="str">
        <f>VLOOKUP(Table2575525269101343444647484956575859631518171922456667717273747677787993949597[[#This Row],[PEG]],Table1016[#All],3,FALSE)</f>
        <v>MENU PROMPT</v>
      </c>
    </row>
    <row r="22" spans="1:5">
      <c r="A22" s="114">
        <v>15</v>
      </c>
      <c r="B22" s="110" t="s">
        <v>124</v>
      </c>
      <c r="C22" s="151" t="s">
        <v>536</v>
      </c>
      <c r="D22" s="113"/>
      <c r="E22" s="122" t="e">
        <f>VLOOKUP(Table2575525269101343444647484956575859631518171922456667717273747677787993949597[[#This Row],[PEG]],Table1016[#All],3,FALSE)</f>
        <v>#N/A</v>
      </c>
    </row>
    <row r="23" spans="1:5" ht="30">
      <c r="A23" s="114">
        <v>16</v>
      </c>
      <c r="B23" s="110" t="s">
        <v>115</v>
      </c>
      <c r="C23" s="105" t="str">
        <f>VLOOKUP(Table2575525269101343444647484956575859631518171922456667717273747677787993949597[[#This Row],[PEG]],Table1016[#All],2,FALSE)</f>
        <v>0920.wav I've processed your request. Is there anything else I can help you with today? You can say main menu or simply hang up.</v>
      </c>
      <c r="D23" s="113">
        <v>920</v>
      </c>
      <c r="E23" s="122" t="str">
        <f>VLOOKUP(Table2575525269101343444647484956575859631518171922456667717273747677787993949597[[#This Row],[PEG]],Table1016[#All],3,FALSE)</f>
        <v>MENU PROMPT</v>
      </c>
    </row>
    <row r="24" spans="1:5">
      <c r="A24" s="114">
        <v>17</v>
      </c>
      <c r="B24" s="110" t="s">
        <v>13</v>
      </c>
      <c r="C24" s="17" t="s">
        <v>13</v>
      </c>
      <c r="D24" s="111"/>
      <c r="E24" s="31"/>
    </row>
  </sheetData>
  <mergeCells count="1">
    <mergeCell ref="A1:B1"/>
  </mergeCells>
  <conditionalFormatting sqref="B8">
    <cfRule type="containsText" dxfId="4893" priority="3" operator="containsText" text="Hear">
      <formula>NOT(ISERROR(SEARCH("Hear",B8)))</formula>
    </cfRule>
  </conditionalFormatting>
  <conditionalFormatting sqref="B24">
    <cfRule type="containsText" dxfId="4892" priority="9" operator="containsText" text="Hear">
      <formula>NOT(ISERROR(SEARCH("Hear",B24)))</formula>
    </cfRule>
  </conditionalFormatting>
  <conditionalFormatting sqref="E24">
    <cfRule type="containsText" dxfId="4891" priority="7" operator="containsText" text="WEB SERVICE">
      <formula>NOT(ISERROR(SEARCH("WEB SERVICE",E24)))</formula>
    </cfRule>
    <cfRule type="containsText" dxfId="4890" priority="8" operator="containsText" text="DB">
      <formula>NOT(ISERROR(SEARCH("DB",E24)))</formula>
    </cfRule>
  </conditionalFormatting>
  <conditionalFormatting sqref="C24">
    <cfRule type="expression" dxfId="4889" priority="10">
      <formula>$B24="Dial"</formula>
    </cfRule>
    <cfRule type="expression" dxfId="4888" priority="12">
      <formula>$B24="HANGUP"</formula>
    </cfRule>
  </conditionalFormatting>
  <conditionalFormatting sqref="C24">
    <cfRule type="expression" dxfId="4887" priority="4">
      <formula>$B24="Speak"</formula>
    </cfRule>
  </conditionalFormatting>
  <conditionalFormatting sqref="B9:B18">
    <cfRule type="containsText" dxfId="4886" priority="1" operator="containsText" text="Hear">
      <formula>NOT(ISERROR(SEARCH("Hear",B9)))</formula>
    </cfRule>
  </conditionalFormatting>
  <conditionalFormatting sqref="B19:B23">
    <cfRule type="containsText" dxfId="4885" priority="2" operator="containsText" text="Hear">
      <formula>NOT(ISERROR(SEARCH("Hear",B19)))</formula>
    </cfRule>
  </conditionalFormatting>
  <hyperlinks>
    <hyperlink ref="A1" location="'Test Case Overview'!A1" display="Return to Test Case Overview" xr:uid="{00000000-0004-0000-37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3" id="{D57625EE-855B-419F-88DF-F8093D7AE282}">
            <xm:f>'TC1'!$B8="HANGUP"</xm:f>
            <x14:dxf>
              <font>
                <b/>
                <i val="0"/>
              </font>
            </x14:dxf>
          </x14:cfRule>
          <x14:cfRule type="expression" priority="14" id="{8BF2BB6E-AA61-4693-B68B-8D7666D83BCA}">
            <xm:f>'TC1'!$B8="Dial"</xm:f>
            <x14:dxf>
              <font>
                <b/>
                <i val="0"/>
                <color rgb="FFFF0000"/>
              </font>
            </x14:dxf>
          </x14:cfRule>
          <xm:sqref>C8</xm:sqref>
        </x14:conditionalFormatting>
        <x14:conditionalFormatting xmlns:xm="http://schemas.microsoft.com/office/excel/2006/main">
          <x14:cfRule type="expression" priority="15" id="{44806621-7962-40F6-8277-007C0BB10C8B}">
            <xm:f>'TC1'!$B8="Speak"</xm:f>
            <x14:dxf>
              <font>
                <b/>
                <i val="0"/>
                <color rgb="FFFF0000"/>
              </font>
            </x14:dxf>
          </x14:cfRule>
          <xm:sqref>C8</xm:sqref>
        </x14:conditionalFormatting>
        <x14:conditionalFormatting xmlns:xm="http://schemas.microsoft.com/office/excel/2006/main">
          <x14:cfRule type="containsText" priority="11" operator="containsText" text="DB" id="{CD25210C-9880-4A54-BA44-096FD323832E}">
            <xm:f>NOT(ISERROR(SEARCH("DB",'TC1'!E10)))</xm:f>
            <x14:dxf>
              <font>
                <color rgb="FF006100"/>
              </font>
              <fill>
                <patternFill>
                  <bgColor rgb="FFC6EFCE"/>
                </patternFill>
              </fill>
            </x14:dxf>
          </x14:cfRule>
          <x14:cfRule type="containsText" priority="16" operator="containsText" text="WEB SERVICE" id="{5A1F244C-DF94-412A-8ED7-BFBC3EC1189A}">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370" id="{D57625EE-855B-419F-88DF-F8093D7AE282}">
            <xm:f>'TC1'!#REF!="HANGUP"</xm:f>
            <x14:dxf>
              <font>
                <b/>
                <i val="0"/>
              </font>
            </x14:dxf>
          </x14:cfRule>
          <x14:cfRule type="expression" priority="1371" id="{8BF2BB6E-AA61-4693-B68B-8D7666D83BCA}">
            <xm:f>'TC1'!#REF!="Dial"</xm:f>
            <x14:dxf>
              <font>
                <b/>
                <i val="0"/>
                <color rgb="FFFF0000"/>
              </font>
            </x14:dxf>
          </x14:cfRule>
          <xm:sqref>C13:C23</xm:sqref>
        </x14:conditionalFormatting>
        <x14:conditionalFormatting xmlns:xm="http://schemas.microsoft.com/office/excel/2006/main">
          <x14:cfRule type="expression" priority="1376" id="{44806621-7962-40F6-8277-007C0BB10C8B}">
            <xm:f>'TC1'!#REF!="Speak"</xm:f>
            <x14:dxf>
              <font>
                <b/>
                <i val="0"/>
                <color rgb="FFFF0000"/>
              </font>
            </x14:dxf>
          </x14:cfRule>
          <xm:sqref>C13:C23</xm:sqref>
        </x14:conditionalFormatting>
        <x14:conditionalFormatting xmlns:xm="http://schemas.microsoft.com/office/excel/2006/main">
          <x14:cfRule type="containsText" priority="1382" operator="containsText" text="DB" id="{CD25210C-9880-4A54-BA44-096FD323832E}">
            <xm:f>NOT(ISERROR(SEARCH("DB",'TC1'!#REF!)))</xm:f>
            <x14:dxf>
              <font>
                <color rgb="FF006100"/>
              </font>
              <fill>
                <patternFill>
                  <bgColor rgb="FFC6EFCE"/>
                </patternFill>
              </fill>
            </x14:dxf>
          </x14:cfRule>
          <x14:cfRule type="containsText" priority="1383" operator="containsText" text="WEB SERVICE" id="{5A1F244C-DF94-412A-8ED7-BFBC3EC1189A}">
            <xm:f>NOT(ISERROR(SEARCH("WEB SERVICE",'TC1'!#REF!)))</xm:f>
            <x14:dxf>
              <font>
                <color rgb="FF9C0006"/>
              </font>
              <fill>
                <patternFill>
                  <bgColor rgb="FFFFC7CE"/>
                </patternFill>
              </fill>
            </x14:dxf>
          </x14:cfRule>
          <xm:sqref>E13:E23</xm:sqref>
        </x14:conditionalFormatting>
        <x14:conditionalFormatting xmlns:xm="http://schemas.microsoft.com/office/excel/2006/main">
          <x14:cfRule type="expression" priority="3800" id="{D57625EE-855B-419F-88DF-F8093D7AE282}">
            <xm:f>'TC1'!$B10="HANGUP"</xm:f>
            <x14:dxf>
              <font>
                <b/>
                <i val="0"/>
              </font>
            </x14:dxf>
          </x14:cfRule>
          <x14:cfRule type="expression" priority="3801" id="{8BF2BB6E-AA61-4693-B68B-8D7666D83BCA}">
            <xm:f>'TC1'!$B10="Dial"</xm:f>
            <x14:dxf>
              <font>
                <b/>
                <i val="0"/>
                <color rgb="FFFF0000"/>
              </font>
            </x14:dxf>
          </x14:cfRule>
          <xm:sqref>C9:C12</xm:sqref>
        </x14:conditionalFormatting>
        <x14:conditionalFormatting xmlns:xm="http://schemas.microsoft.com/office/excel/2006/main">
          <x14:cfRule type="expression" priority="3803" id="{44806621-7962-40F6-8277-007C0BB10C8B}">
            <xm:f>'TC1'!$B10="Speak"</xm:f>
            <x14:dxf>
              <font>
                <b/>
                <i val="0"/>
                <color rgb="FFFF0000"/>
              </font>
            </x14:dxf>
          </x14:cfRule>
          <xm:sqref>C9:C12</xm:sqref>
        </x14:conditionalFormatting>
      </x14:conditionalFormatting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8"/>
  <dimension ref="A1:E25"/>
  <sheetViews>
    <sheetView zoomScaleNormal="100" workbookViewId="0">
      <selection activeCell="C4" sqref="C4:C5"/>
    </sheetView>
  </sheetViews>
  <sheetFormatPr defaultRowHeight="15"/>
  <cols>
    <col min="1" max="1" width="14.42578125" style="93" bestFit="1" customWidth="1"/>
    <col min="2" max="2" width="42.7109375" style="93" customWidth="1"/>
    <col min="3" max="3" width="106.28515625" style="93" customWidth="1"/>
    <col min="4" max="4" width="21.7109375" style="93" bestFit="1" customWidth="1"/>
    <col min="5" max="5" width="20.7109375" style="93" customWidth="1"/>
  </cols>
  <sheetData>
    <row r="1" spans="1:5" ht="18.75">
      <c r="A1" s="197" t="s">
        <v>4</v>
      </c>
      <c r="B1" s="197"/>
      <c r="C1" s="101"/>
      <c r="D1" s="107"/>
    </row>
    <row r="2" spans="1:5">
      <c r="A2" s="102" t="s">
        <v>5</v>
      </c>
      <c r="B2" s="103" t="str">
        <f ca="1">MID(CELL("filename",A1),FIND("]",CELL("filename",A1))+1,LEN(CELL("filename",A1))-FIND("]",CELL("filename",A1)))</f>
        <v>TC56</v>
      </c>
      <c r="C2" s="94"/>
      <c r="D2" s="107"/>
    </row>
    <row r="3" spans="1:5">
      <c r="A3" s="100" t="s">
        <v>19</v>
      </c>
      <c r="B3" s="108">
        <f ca="1">VLOOKUP(B2,Table1[#All],2,FALSE)</f>
        <v>0</v>
      </c>
      <c r="C3" s="94"/>
      <c r="D3" s="107"/>
    </row>
    <row r="4" spans="1:5" ht="30">
      <c r="A4" s="109" t="s">
        <v>20</v>
      </c>
      <c r="B4" s="95" t="str">
        <f ca="1">VLOOKUP(B2,Table1[#All],4,FALSE)</f>
        <v>1098 not active</v>
      </c>
      <c r="C4" s="94"/>
      <c r="D4" s="107"/>
    </row>
    <row r="5" spans="1:5" ht="45">
      <c r="A5" s="100" t="s">
        <v>6</v>
      </c>
      <c r="B5" s="89" t="str">
        <f ca="1">VLOOKUP(B2,Table1[#All],3,FALSE)</f>
        <v>CallStart MM/Payments/ request doc/ID Auth/FinSVCS2/FinSVCS3/1098 not active/Statement/monthly/HU at MM</v>
      </c>
      <c r="C5" s="94"/>
      <c r="D5" s="107"/>
    </row>
    <row r="6" spans="1:5">
      <c r="C6" s="94"/>
      <c r="D6" s="107"/>
    </row>
    <row r="7" spans="1:5" ht="15.75">
      <c r="A7" s="96" t="s">
        <v>7</v>
      </c>
      <c r="B7" s="97" t="s">
        <v>8</v>
      </c>
      <c r="C7" s="98" t="s">
        <v>9</v>
      </c>
      <c r="D7" s="98" t="s">
        <v>14</v>
      </c>
      <c r="E7" s="99" t="s">
        <v>10</v>
      </c>
    </row>
    <row r="8" spans="1:5">
      <c r="A8" s="114">
        <v>1</v>
      </c>
      <c r="B8" s="110" t="s">
        <v>114</v>
      </c>
      <c r="C8" s="105" t="s">
        <v>125</v>
      </c>
      <c r="D8" s="125"/>
      <c r="E8" s="122" t="s">
        <v>11</v>
      </c>
    </row>
    <row r="9" spans="1:5" ht="30">
      <c r="A9" s="114">
        <v>2</v>
      </c>
      <c r="B9" s="110" t="s">
        <v>115</v>
      </c>
      <c r="C9" s="105" t="str">
        <f>VLOOKUP(Table257552526910134344464748495657585963151817192245666771727374767778799394959732[[#This Row],[PEG]],Table1016[#All],2,FALSE)</f>
        <v>0100.wav Thank you for calling Shell vacations Club, we are glad you called. Please have your account number available for faster service. [To continue in Spanish, press 9]</v>
      </c>
      <c r="D9" s="149">
        <v>100</v>
      </c>
      <c r="E9" s="122" t="str">
        <f>VLOOKUP(Table257552526910134344464748495657585963151817192245666771727374767778799394959732[[#This Row],[PEG]],Table1016[#All],3,FALSE)</f>
        <v>PLAY PROMPT</v>
      </c>
    </row>
    <row r="10" spans="1:5" ht="30">
      <c r="A10" s="114">
        <v>3</v>
      </c>
      <c r="B10" s="110" t="s">
        <v>115</v>
      </c>
      <c r="C10" s="127" t="str">
        <f>VLOOKUP(Table257552526910134344464748495657585963151817192245666771727374767778799394959732[[#This Row],[PEG]],Table1016[#All],2,FALSE)</f>
        <v>0110-1.wav Which would you like? You can say... reservations, payments &amp; statements, title &amp; ownership changes, or more options.</v>
      </c>
      <c r="D10" s="149">
        <v>110</v>
      </c>
      <c r="E10" s="122" t="str">
        <f>VLOOKUP(Table257552526910134344464748495657585963151817192245666771727374767778799394959732[[#This Row],[PEG]],Table1016[#All],3,FALSE)</f>
        <v>MENU PROMPT</v>
      </c>
    </row>
    <row r="11" spans="1:5">
      <c r="A11" s="114">
        <v>4</v>
      </c>
      <c r="B11" s="110" t="s">
        <v>124</v>
      </c>
      <c r="C11" s="105" t="s">
        <v>574</v>
      </c>
      <c r="D11" s="149"/>
      <c r="E11" s="122" t="e">
        <f>VLOOKUP(Table257552526910134344464748495657585963151817192245666771727374767778799394959732[[#This Row],[PEG]],Table1016[#All],3,FALSE)</f>
        <v>#N/A</v>
      </c>
    </row>
    <row r="12" spans="1:5" ht="30">
      <c r="A12" s="114">
        <v>5</v>
      </c>
      <c r="B12" s="110" t="s">
        <v>115</v>
      </c>
      <c r="C12" s="105" t="str">
        <f>VLOOKUP(Table257552526910134344464748495657585963151817192245666771727374767778799394959732[[#This Row],[PEG]],Table1016[#All],2,FALSE)</f>
        <v>400.wav You can say make a payment, check account status, request a document, or more options. Which would you like?</v>
      </c>
      <c r="D12" s="149">
        <v>400</v>
      </c>
      <c r="E12" s="122" t="str">
        <f>VLOOKUP(Table257552526910134344464748495657585963151817192245666771727374767778799394959732[[#This Row],[PEG]],Table1016[#All],3,FALSE)</f>
        <v>MENU PROMPT</v>
      </c>
    </row>
    <row r="13" spans="1:5">
      <c r="A13" s="114">
        <v>6</v>
      </c>
      <c r="B13" s="110" t="s">
        <v>124</v>
      </c>
      <c r="C13" s="151" t="s">
        <v>575</v>
      </c>
      <c r="D13" s="149"/>
      <c r="E13" s="122" t="e">
        <f>VLOOKUP(Table257552526910134344464748495657585963151817192245666771727374767778799394959732[[#This Row],[PEG]],Table1016[#All],3,FALSE)</f>
        <v>#N/A</v>
      </c>
    </row>
    <row r="14" spans="1:5">
      <c r="A14" s="114">
        <v>7</v>
      </c>
      <c r="B14" s="110" t="s">
        <v>115</v>
      </c>
      <c r="C14" s="105" t="str">
        <f>VLOOKUP(Table257552526910134344464748495657585963151817192245666771727374767778799394959732[[#This Row],[PEG]],Table1016[#All],2,FALSE)</f>
        <v>0200-1.wav To get started, what is your account number?</v>
      </c>
      <c r="D14" s="149">
        <v>200</v>
      </c>
      <c r="E14" s="122" t="str">
        <f>VLOOKUP(Table257552526910134344464748495657585963151817192245666771727374767778799394959732[[#This Row],[PEG]],Table1016[#All],3,FALSE)</f>
        <v>MENU PROMPT</v>
      </c>
    </row>
    <row r="15" spans="1:5">
      <c r="A15" s="114">
        <v>8</v>
      </c>
      <c r="B15" s="110" t="s">
        <v>114</v>
      </c>
      <c r="C15" s="151" t="s">
        <v>497</v>
      </c>
      <c r="D15" s="112"/>
      <c r="E15" s="122" t="e">
        <f>VLOOKUP(Table257552526910134344464748495657585963151817192245666771727374767778799394959732[[#This Row],[PEG]],Table1016[#All],3,FALSE)</f>
        <v>#N/A</v>
      </c>
    </row>
    <row r="16" spans="1:5">
      <c r="A16" s="114">
        <v>9</v>
      </c>
      <c r="B16" s="110" t="s">
        <v>115</v>
      </c>
      <c r="C16" s="105" t="str">
        <f>VLOOKUP(Table257552526910134344464748495657585963151817192245666771727374767778799394959732[[#This Row],[PEG]],Table1016[#All],2,FALSE)</f>
        <v>0210-1.wav And the date of birth for the primary owner?</v>
      </c>
      <c r="D16" s="112">
        <v>210</v>
      </c>
      <c r="E16" s="122" t="str">
        <f>VLOOKUP(Table257552526910134344464748495657585963151817192245666771727374767778799394959732[[#This Row],[PEG]],Table1016[#All],3,FALSE)</f>
        <v>MENU PROMPT</v>
      </c>
    </row>
    <row r="17" spans="1:5">
      <c r="A17" s="114">
        <v>10</v>
      </c>
      <c r="B17" s="110" t="s">
        <v>124</v>
      </c>
      <c r="C17" s="151" t="s">
        <v>541</v>
      </c>
      <c r="D17" s="113"/>
      <c r="E17" s="122" t="e">
        <f>VLOOKUP(Table257552526910134344464748495657585963151817192245666771727374767778799394959732[[#This Row],[PEG]],Table1016[#All],3,FALSE)</f>
        <v>#N/A</v>
      </c>
    </row>
    <row r="18" spans="1:5" ht="30">
      <c r="A18" s="114">
        <v>11</v>
      </c>
      <c r="B18" s="110" t="s">
        <v>115</v>
      </c>
      <c r="C18" s="105" t="str">
        <f>VLOOKUP(Table257552526910134344464748495657585963151817192245666771727374767778799394959732[[#This Row],[PEG]],Table1016[#All],2,FALSE)</f>
        <v xml:space="preserve">0470.wav Which document would you like? You can say pay-off quote, statements, cancellation letter or tax documents. </v>
      </c>
      <c r="D18" s="113">
        <v>470</v>
      </c>
      <c r="E18" s="122" t="str">
        <f>VLOOKUP(Table257552526910134344464748495657585963151817192245666771727374767778799394959732[[#This Row],[PEG]],Table1016[#All],3,FALSE)</f>
        <v>MENU PROMPT</v>
      </c>
    </row>
    <row r="19" spans="1:5">
      <c r="A19" s="114">
        <v>12</v>
      </c>
      <c r="B19" s="110" t="s">
        <v>124</v>
      </c>
      <c r="C19" s="151" t="s">
        <v>574</v>
      </c>
      <c r="D19" s="113"/>
      <c r="E19" s="122" t="e">
        <f>VLOOKUP(Table257552526910134344464748495657585963151817192245666771727374767778799394959732[[#This Row],[PEG]],Table1016[#All],3,FALSE)</f>
        <v>#N/A</v>
      </c>
    </row>
    <row r="20" spans="1:5" ht="30">
      <c r="A20" s="114">
        <v>13</v>
      </c>
      <c r="B20" s="110" t="s">
        <v>115</v>
      </c>
      <c r="C20" s="105" t="str">
        <f>VLOOKUP(Table257552526910134344464748495657585963151817192245666771727374767778799394959732[[#This Row],[PEG]],Table1016[#All],2,FALSE)</f>
        <v>0480.wav I can send you a copy of your most recent annual statement, or a copy of your most recent monthly statement. Which one would you like, annual or monthly?</v>
      </c>
      <c r="D20" s="113">
        <v>480</v>
      </c>
      <c r="E20" s="122" t="str">
        <f>VLOOKUP(Table257552526910134344464748495657585963151817192245666771727374767778799394959732[[#This Row],[PEG]],Table1016[#All],3,FALSE)</f>
        <v>MENU PROMPT</v>
      </c>
    </row>
    <row r="21" spans="1:5">
      <c r="A21" s="114">
        <v>14</v>
      </c>
      <c r="B21" s="110" t="s">
        <v>124</v>
      </c>
      <c r="C21" s="151" t="s">
        <v>577</v>
      </c>
      <c r="D21" s="113"/>
      <c r="E21" s="122" t="e">
        <f>VLOOKUP(Table257552526910134344464748495657585963151817192245666771727374767778799394959732[[#This Row],[PEG]],Table1016[#All],3,FALSE)</f>
        <v>#N/A</v>
      </c>
    </row>
    <row r="22" spans="1:5" ht="30">
      <c r="A22" s="114">
        <v>15</v>
      </c>
      <c r="B22" s="110" t="s">
        <v>115</v>
      </c>
      <c r="C22" s="105" t="str">
        <f>VLOOKUP(Table257552526910134344464748495657585963151817192245666771727374767778799394959732[[#This Row],[PEG]],Table1016[#All],2,FALSE)</f>
        <v>0920.wav I've processed your request. Is there anything else I can help you with today? You can say main menu or simply hang up.</v>
      </c>
      <c r="D22" s="113">
        <v>920</v>
      </c>
      <c r="E22" s="122" t="str">
        <f>VLOOKUP(Table257552526910134344464748495657585963151817192245666771727374767778799394959732[[#This Row],[PEG]],Table1016[#All],3,FALSE)</f>
        <v>MENU PROMPT</v>
      </c>
    </row>
    <row r="23" spans="1:5">
      <c r="A23" s="114">
        <v>16</v>
      </c>
      <c r="B23" s="110" t="s">
        <v>124</v>
      </c>
      <c r="C23" s="105" t="s">
        <v>578</v>
      </c>
      <c r="D23" s="113"/>
      <c r="E23" s="122" t="e">
        <f>VLOOKUP(Table257552526910134344464748495657585963151817192245666771727374767778799394959732[[#This Row],[PEG]],Table1016[#All],3,FALSE)</f>
        <v>#N/A</v>
      </c>
    </row>
    <row r="24" spans="1:5" ht="30">
      <c r="A24" s="114">
        <v>17</v>
      </c>
      <c r="B24" s="110" t="s">
        <v>115</v>
      </c>
      <c r="C24" s="105" t="str">
        <f>VLOOKUP(Table257552526910134344464748495657585963151817192245666771727374767778799394959732[[#This Row],[PEG]],Table1016[#All],2,FALSE)</f>
        <v>0110-1.wav Which would you like? You can say... reservations, payments &amp; statements, title &amp; ownership changes, or more options.</v>
      </c>
      <c r="D24" s="113">
        <v>110</v>
      </c>
      <c r="E24" s="122" t="str">
        <f>VLOOKUP(Table257552526910134344464748495657585963151817192245666771727374767778799394959732[[#This Row],[PEG]],Table1016[#All],3,FALSE)</f>
        <v>MENU PROMPT</v>
      </c>
    </row>
    <row r="25" spans="1:5">
      <c r="A25" s="114">
        <v>18</v>
      </c>
      <c r="B25" s="110" t="s">
        <v>13</v>
      </c>
      <c r="C25" s="17" t="s">
        <v>13</v>
      </c>
      <c r="D25" s="111"/>
      <c r="E25" s="31"/>
    </row>
  </sheetData>
  <mergeCells count="1">
    <mergeCell ref="A1:B1"/>
  </mergeCells>
  <conditionalFormatting sqref="B8:B18">
    <cfRule type="containsText" dxfId="4862" priority="7" operator="containsText" text="Hear">
      <formula>NOT(ISERROR(SEARCH("Hear",B8)))</formula>
    </cfRule>
  </conditionalFormatting>
  <conditionalFormatting sqref="B19:B25">
    <cfRule type="containsText" dxfId="4861" priority="13" operator="containsText" text="Hear">
      <formula>NOT(ISERROR(SEARCH("Hear",B19)))</formula>
    </cfRule>
  </conditionalFormatting>
  <conditionalFormatting sqref="E25">
    <cfRule type="containsText" dxfId="4860" priority="11" operator="containsText" text="WEB SERVICE">
      <formula>NOT(ISERROR(SEARCH("WEB SERVICE",E25)))</formula>
    </cfRule>
    <cfRule type="containsText" dxfId="4859" priority="12" operator="containsText" text="DB">
      <formula>NOT(ISERROR(SEARCH("DB",E25)))</formula>
    </cfRule>
  </conditionalFormatting>
  <conditionalFormatting sqref="C25">
    <cfRule type="expression" dxfId="4858" priority="14">
      <formula>$B25="Dial"</formula>
    </cfRule>
    <cfRule type="expression" dxfId="4857" priority="16">
      <formula>$B25="HANGUP"</formula>
    </cfRule>
  </conditionalFormatting>
  <conditionalFormatting sqref="C25">
    <cfRule type="expression" dxfId="4856" priority="8">
      <formula>$B25="Speak"</formula>
    </cfRule>
  </conditionalFormatting>
  <hyperlinks>
    <hyperlink ref="A1" location="'Test Case Overview'!A1" display="Return to Test Case Overview" xr:uid="{00000000-0004-0000-38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7" id="{07531B2A-F8DF-47F3-A02C-25784035DEDE}">
            <xm:f>'TC1'!$B8="HANGUP"</xm:f>
            <x14:dxf>
              <font>
                <b/>
                <i val="0"/>
              </font>
            </x14:dxf>
          </x14:cfRule>
          <x14:cfRule type="expression" priority="18" id="{488A67CA-7C91-4A94-B51A-940D8FE08E48}">
            <xm:f>'TC1'!$B8="Dial"</xm:f>
            <x14:dxf>
              <font>
                <b/>
                <i val="0"/>
                <color rgb="FFFF0000"/>
              </font>
            </x14:dxf>
          </x14:cfRule>
          <xm:sqref>C8</xm:sqref>
        </x14:conditionalFormatting>
        <x14:conditionalFormatting xmlns:xm="http://schemas.microsoft.com/office/excel/2006/main">
          <x14:cfRule type="expression" priority="19" id="{DCEA2514-C6C6-4B9B-B091-9B91113A9D7F}">
            <xm:f>'TC1'!$B8="Speak"</xm:f>
            <x14:dxf>
              <font>
                <b/>
                <i val="0"/>
                <color rgb="FFFF0000"/>
              </font>
            </x14:dxf>
          </x14:cfRule>
          <xm:sqref>C8</xm:sqref>
        </x14:conditionalFormatting>
        <x14:conditionalFormatting xmlns:xm="http://schemas.microsoft.com/office/excel/2006/main">
          <x14:cfRule type="containsText" priority="15" operator="containsText" text="DB" id="{B73CC878-AAA4-47DA-B12D-D06C55AA00EB}">
            <xm:f>NOT(ISERROR(SEARCH("DB",'TC1'!E10)))</xm:f>
            <x14:dxf>
              <font>
                <color rgb="FF006100"/>
              </font>
              <fill>
                <patternFill>
                  <bgColor rgb="FFC6EFCE"/>
                </patternFill>
              </fill>
            </x14:dxf>
          </x14:cfRule>
          <x14:cfRule type="containsText" priority="20" operator="containsText" text="WEB SERVICE" id="{60DA849B-6B9B-485A-BC65-CDBEEF5CC866}">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394" id="{07531B2A-F8DF-47F3-A02C-25784035DEDE}">
            <xm:f>'TC1'!#REF!="HANGUP"</xm:f>
            <x14:dxf>
              <font>
                <b/>
                <i val="0"/>
              </font>
            </x14:dxf>
          </x14:cfRule>
          <x14:cfRule type="expression" priority="1395" id="{488A67CA-7C91-4A94-B51A-940D8FE08E48}">
            <xm:f>'TC1'!#REF!="Dial"</xm:f>
            <x14:dxf>
              <font>
                <b/>
                <i val="0"/>
                <color rgb="FFFF0000"/>
              </font>
            </x14:dxf>
          </x14:cfRule>
          <xm:sqref>C13:C14 C16 C18:C24</xm:sqref>
        </x14:conditionalFormatting>
        <x14:conditionalFormatting xmlns:xm="http://schemas.microsoft.com/office/excel/2006/main">
          <x14:cfRule type="expression" priority="1400" id="{DCEA2514-C6C6-4B9B-B091-9B91113A9D7F}">
            <xm:f>'TC1'!#REF!="Speak"</xm:f>
            <x14:dxf>
              <font>
                <b/>
                <i val="0"/>
                <color rgb="FFFF0000"/>
              </font>
            </x14:dxf>
          </x14:cfRule>
          <xm:sqref>C13:C14 C16 C18:C24</xm:sqref>
        </x14:conditionalFormatting>
        <x14:conditionalFormatting xmlns:xm="http://schemas.microsoft.com/office/excel/2006/main">
          <x14:cfRule type="containsText" priority="1406" operator="containsText" text="DB" id="{B73CC878-AAA4-47DA-B12D-D06C55AA00EB}">
            <xm:f>NOT(ISERROR(SEARCH("DB",'TC1'!#REF!)))</xm:f>
            <x14:dxf>
              <font>
                <color rgb="FF006100"/>
              </font>
              <fill>
                <patternFill>
                  <bgColor rgb="FFC6EFCE"/>
                </patternFill>
              </fill>
            </x14:dxf>
          </x14:cfRule>
          <x14:cfRule type="containsText" priority="1407" operator="containsText" text="WEB SERVICE" id="{60DA849B-6B9B-485A-BC65-CDBEEF5CC866}">
            <xm:f>NOT(ISERROR(SEARCH("WEB SERVICE",'TC1'!#REF!)))</xm:f>
            <x14:dxf>
              <font>
                <color rgb="FF9C0006"/>
              </font>
              <fill>
                <patternFill>
                  <bgColor rgb="FFFFC7CE"/>
                </patternFill>
              </fill>
            </x14:dxf>
          </x14:cfRule>
          <xm:sqref>E13:E24</xm:sqref>
        </x14:conditionalFormatting>
        <x14:conditionalFormatting xmlns:xm="http://schemas.microsoft.com/office/excel/2006/main">
          <x14:cfRule type="expression" priority="3812" id="{07531B2A-F8DF-47F3-A02C-25784035DEDE}">
            <xm:f>'TC1'!$B10="HANGUP"</xm:f>
            <x14:dxf>
              <font>
                <b/>
                <i val="0"/>
              </font>
            </x14:dxf>
          </x14:cfRule>
          <x14:cfRule type="expression" priority="3813" id="{488A67CA-7C91-4A94-B51A-940D8FE08E48}">
            <xm:f>'TC1'!$B10="Dial"</xm:f>
            <x14:dxf>
              <font>
                <b/>
                <i val="0"/>
                <color rgb="FFFF0000"/>
              </font>
            </x14:dxf>
          </x14:cfRule>
          <xm:sqref>C9:C12</xm:sqref>
        </x14:conditionalFormatting>
        <x14:conditionalFormatting xmlns:xm="http://schemas.microsoft.com/office/excel/2006/main">
          <x14:cfRule type="expression" priority="3815" id="{DCEA2514-C6C6-4B9B-B091-9B91113A9D7F}">
            <xm:f>'TC1'!$B10="Speak"</xm:f>
            <x14:dxf>
              <font>
                <b/>
                <i val="0"/>
                <color rgb="FFFF0000"/>
              </font>
            </x14:dxf>
          </x14:cfRule>
          <xm:sqref>C9:C12</xm:sqref>
        </x14:conditionalFormatting>
        <x14:conditionalFormatting xmlns:xm="http://schemas.microsoft.com/office/excel/2006/main">
          <x14:cfRule type="expression" priority="4" id="{B8496397-3117-46BB-9387-DC4E6F0D7470}">
            <xm:f>'TC1'!#REF!="HANGUP"</xm:f>
            <x14:dxf>
              <font>
                <b/>
                <i val="0"/>
              </font>
            </x14:dxf>
          </x14:cfRule>
          <x14:cfRule type="expression" priority="5" id="{FEA78CC1-3EAB-45B7-AB3C-A7CBF11ECF0E}">
            <xm:f>'TC1'!#REF!="Dial"</xm:f>
            <x14:dxf>
              <font>
                <b/>
                <i val="0"/>
                <color rgb="FFFF0000"/>
              </font>
            </x14:dxf>
          </x14:cfRule>
          <xm:sqref>C15</xm:sqref>
        </x14:conditionalFormatting>
        <x14:conditionalFormatting xmlns:xm="http://schemas.microsoft.com/office/excel/2006/main">
          <x14:cfRule type="expression" priority="6" id="{2ABA66EC-9660-488E-8EAE-BEBDB2FA3309}">
            <xm:f>'TC1'!#REF!="Speak"</xm:f>
            <x14:dxf>
              <font>
                <b/>
                <i val="0"/>
                <color rgb="FFFF0000"/>
              </font>
            </x14:dxf>
          </x14:cfRule>
          <xm:sqref>C15</xm:sqref>
        </x14:conditionalFormatting>
        <x14:conditionalFormatting xmlns:xm="http://schemas.microsoft.com/office/excel/2006/main">
          <x14:cfRule type="expression" priority="1" id="{902E792F-958F-466E-A0D7-C9C3C6CD7FD3}">
            <xm:f>'TC1'!#REF!="HANGUP"</xm:f>
            <x14:dxf>
              <font>
                <b/>
                <i val="0"/>
              </font>
            </x14:dxf>
          </x14:cfRule>
          <x14:cfRule type="expression" priority="2" id="{BBC9CE54-9646-4B03-9073-76B0469C6DF7}">
            <xm:f>'TC1'!#REF!="Dial"</xm:f>
            <x14:dxf>
              <font>
                <b/>
                <i val="0"/>
                <color rgb="FFFF0000"/>
              </font>
            </x14:dxf>
          </x14:cfRule>
          <xm:sqref>C17</xm:sqref>
        </x14:conditionalFormatting>
        <x14:conditionalFormatting xmlns:xm="http://schemas.microsoft.com/office/excel/2006/main">
          <x14:cfRule type="expression" priority="3" id="{472CD189-E699-43D2-82F8-E41261C5DFC7}">
            <xm:f>'TC1'!#REF!="Speak"</xm:f>
            <x14:dxf>
              <font>
                <b/>
                <i val="0"/>
                <color rgb="FFFF0000"/>
              </font>
            </x14:dxf>
          </x14:cfRule>
          <xm:sqref>C17</xm:sqref>
        </x14:conditionalFormatting>
      </x14:conditionalFormatting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9"/>
  <dimension ref="A1:E21"/>
  <sheetViews>
    <sheetView zoomScaleNormal="100" workbookViewId="0">
      <selection activeCell="C24" sqref="C2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TC57</v>
      </c>
      <c r="C2" s="94"/>
      <c r="D2" s="107"/>
      <c r="E2" s="93"/>
    </row>
    <row r="3" spans="1:5">
      <c r="A3" s="100" t="s">
        <v>19</v>
      </c>
      <c r="B3" s="108">
        <f ca="1">VLOOKUP(B2,Table1[#All],2,FALSE)</f>
        <v>0</v>
      </c>
      <c r="C3" s="94"/>
      <c r="D3" s="107"/>
      <c r="E3" s="93"/>
    </row>
    <row r="4" spans="1:5" ht="30">
      <c r="A4" s="109" t="s">
        <v>20</v>
      </c>
      <c r="B4" s="95" t="str">
        <f ca="1">VLOOKUP(B2,Table1[#All],4,FALSE)</f>
        <v>svcArea=titleSvcs, serviceType=checkStatus, Completed=Yes, &gt;15 day=Yes, OFS04 success</v>
      </c>
      <c r="C4" s="94"/>
      <c r="D4" s="107"/>
      <c r="E4" s="93"/>
    </row>
    <row r="5" spans="1:5" ht="30">
      <c r="A5" s="100" t="s">
        <v>6</v>
      </c>
      <c r="B5" s="89" t="str">
        <f ca="1">VLOOKUP(B2,Table1[#All],3,FALSE)</f>
        <v>CallStart Main Menu /Title /CheckStatus/ID Auth=True/ Hear Wrap menu/HU</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ht="30">
      <c r="A9" s="114">
        <v>2</v>
      </c>
      <c r="B9" s="110" t="s">
        <v>115</v>
      </c>
      <c r="C9" s="105" t="str">
        <f>VLOOKUP(Table25755252691013434446474849565758596315181719224566677172737476777879939495100[[#This Row],[PEG]],Table1016[#All],2,FALSE)</f>
        <v>0100.wav Thank you for calling Shell vacations Club, we are glad you called. Please have your account number available for faster service. [To continue in Spanish, press 9]</v>
      </c>
      <c r="D9" s="149">
        <v>100</v>
      </c>
      <c r="E9" s="122" t="str">
        <f>VLOOKUP(Table25755252691013434446474849565758596315181719224566677172737476777879939495100[[#This Row],[PEG]],Table1016[#All],3,FALSE)</f>
        <v>PLAY PROMPT</v>
      </c>
    </row>
    <row r="10" spans="1:5" ht="30">
      <c r="A10" s="114">
        <v>3</v>
      </c>
      <c r="B10" s="110" t="s">
        <v>115</v>
      </c>
      <c r="C10" s="127" t="str">
        <f>VLOOKUP(Table25755252691013434446474849565758596315181719224566677172737476777879939495100[[#This Row],[PEG]],Table1016[#All],2,FALSE)</f>
        <v>0110-1.wav Which would you like? You can say... reservations, payments &amp; statements, title &amp; ownership changes, or more options.</v>
      </c>
      <c r="D10" s="149">
        <v>110</v>
      </c>
      <c r="E10" s="122" t="str">
        <f>VLOOKUP(Table25755252691013434446474849565758596315181719224566677172737476777879939495100[[#This Row],[PEG]],Table1016[#All],3,FALSE)</f>
        <v>MENU PROMPT</v>
      </c>
    </row>
    <row r="11" spans="1:5">
      <c r="A11" s="114">
        <v>4</v>
      </c>
      <c r="B11" s="110" t="s">
        <v>124</v>
      </c>
      <c r="C11" s="151" t="s">
        <v>2</v>
      </c>
      <c r="D11" s="149"/>
      <c r="E11" s="122" t="e">
        <f>VLOOKUP(Table25755252691013434446474849565758596315181719224566677172737476777879939495100[[#This Row],[PEG]],Table1016[#All],3,FALSE)</f>
        <v>#N/A</v>
      </c>
    </row>
    <row r="12" spans="1:5" ht="30">
      <c r="A12" s="114">
        <v>5</v>
      </c>
      <c r="B12" s="110" t="s">
        <v>115</v>
      </c>
      <c r="C12" s="105" t="str">
        <f>VLOOKUP(Table25755252691013434446474849565758596315181719224566677172737476777879939495100[[#This Row],[PEG]],Table1016[#All],2,FALSE)</f>
        <v>0300-1.wav You can say ownership changes, check status, make a payment, or help me with something else. Which would you like?</v>
      </c>
      <c r="D12" s="149">
        <v>300</v>
      </c>
      <c r="E12" s="122" t="str">
        <f>VLOOKUP(Table25755252691013434446474849565758596315181719224566677172737476777879939495100[[#This Row],[PEG]],Table1016[#All],3,FALSE)</f>
        <v>MENU PROMPT</v>
      </c>
    </row>
    <row r="13" spans="1:5">
      <c r="A13" s="114">
        <v>6</v>
      </c>
      <c r="B13" s="110" t="s">
        <v>124</v>
      </c>
      <c r="C13" s="151" t="s">
        <v>492</v>
      </c>
      <c r="D13" s="149"/>
      <c r="E13" s="122" t="e">
        <f>VLOOKUP(Table25755252691013434446474849565758596315181719224566677172737476777879939495100[[#This Row],[PEG]],Table1016[#All],3,FALSE)</f>
        <v>#N/A</v>
      </c>
    </row>
    <row r="14" spans="1:5">
      <c r="A14" s="114">
        <v>7</v>
      </c>
      <c r="B14" s="110" t="s">
        <v>115</v>
      </c>
      <c r="C14" s="105" t="str">
        <f>VLOOKUP(Table25755252691013434446474849565758596315181719224566677172737476777879939495100[[#This Row],[PEG]],Table1016[#All],2,FALSE)</f>
        <v>0200-1.wav To get started, what is your account number?</v>
      </c>
      <c r="D14" s="149">
        <v>200</v>
      </c>
      <c r="E14" s="122" t="str">
        <f>VLOOKUP(Table25755252691013434446474849565758596315181719224566677172737476777879939495100[[#This Row],[PEG]],Table1016[#All],3,FALSE)</f>
        <v>MENU PROMPT</v>
      </c>
    </row>
    <row r="15" spans="1:5">
      <c r="A15" s="114">
        <v>8</v>
      </c>
      <c r="B15" s="110" t="s">
        <v>124</v>
      </c>
      <c r="C15" s="151" t="s">
        <v>515</v>
      </c>
      <c r="D15" s="112"/>
      <c r="E15" s="122" t="e">
        <f>VLOOKUP(Table25755252691013434446474849565758596315181719224566677172737476777879939495100[[#This Row],[PEG]],Table1016[#All],3,FALSE)</f>
        <v>#N/A</v>
      </c>
    </row>
    <row r="16" spans="1:5">
      <c r="A16" s="114">
        <v>9</v>
      </c>
      <c r="B16" s="110" t="s">
        <v>115</v>
      </c>
      <c r="C16" s="105" t="str">
        <f>VLOOKUP(Table25755252691013434446474849565758596315181719224566677172737476777879939495100[[#This Row],[PEG]],Table1016[#All],2,FALSE)</f>
        <v>0210-1.wav And the date of birth for the primary owner?</v>
      </c>
      <c r="D16" s="112">
        <v>210</v>
      </c>
      <c r="E16" s="122" t="str">
        <f>VLOOKUP(Table25755252691013434446474849565758596315181719224566677172737476777879939495100[[#This Row],[PEG]],Table1016[#All],3,FALSE)</f>
        <v>MENU PROMPT</v>
      </c>
    </row>
    <row r="17" spans="1:5">
      <c r="A17" s="114">
        <v>10</v>
      </c>
      <c r="B17" s="110" t="s">
        <v>124</v>
      </c>
      <c r="C17" s="151" t="s">
        <v>524</v>
      </c>
      <c r="D17" s="113"/>
      <c r="E17" s="122" t="e">
        <f>VLOOKUP(Table25755252691013434446474849565758596315181719224566677172737476777879939495100[[#This Row],[PEG]],Table1016[#All],3,FALSE)</f>
        <v>#N/A</v>
      </c>
    </row>
    <row r="18" spans="1:5" ht="30">
      <c r="A18" s="114">
        <v>11</v>
      </c>
      <c r="B18" s="110" t="s">
        <v>115</v>
      </c>
      <c r="C18" s="105" t="str">
        <f>VLOOKUP(Table25755252691013434446474849565758596315181719224566677172737476777879939495100[[#This Row],[PEG]],Table1016[#All],2,FALSE)</f>
        <v>0310-1.wav Your request to transfer ownership was processed on &lt;date&gt;. Would you like me to send you a copy of the confirmation letter? &lt;pause&gt; If you would like to speak with someone, just say "representative."</v>
      </c>
      <c r="D18" s="113">
        <v>310</v>
      </c>
      <c r="E18" s="122" t="str">
        <f>VLOOKUP(Table25755252691013434446474849565758596315181719224566677172737476777879939495100[[#This Row],[PEG]],Table1016[#All],3,FALSE)</f>
        <v>PLAY PROMPT</v>
      </c>
    </row>
    <row r="19" spans="1:5">
      <c r="A19" s="114">
        <v>12</v>
      </c>
      <c r="B19" s="110" t="s">
        <v>124</v>
      </c>
      <c r="C19" s="151" t="s">
        <v>582</v>
      </c>
      <c r="D19" s="113"/>
      <c r="E19" s="122" t="e">
        <f>VLOOKUP(Table25755252691013434446474849565758596315181719224566677172737476777879939495100[[#This Row],[PEG]],Table1016[#All],3,FALSE)</f>
        <v>#N/A</v>
      </c>
    </row>
    <row r="20" spans="1:5" ht="30">
      <c r="A20" s="114">
        <v>13</v>
      </c>
      <c r="B20" s="110" t="s">
        <v>115</v>
      </c>
      <c r="C20" s="105" t="str">
        <f>VLOOKUP(Table25755252691013434446474849565758596315181719224566677172737476777879939495100[[#This Row],[PEG]],Table1016[#All],2,FALSE)</f>
        <v>0920.wav I've processed your request. Is there anything else I can help you with today? You can say main menu or simply hang up.</v>
      </c>
      <c r="D20" s="113">
        <v>920</v>
      </c>
      <c r="E20" s="122" t="str">
        <f>VLOOKUP(Table25755252691013434446474849565758596315181719224566677172737476777879939495100[[#This Row],[PEG]],Table1016[#All],3,FALSE)</f>
        <v>MENU PROMPT</v>
      </c>
    </row>
    <row r="21" spans="1:5">
      <c r="A21" s="114">
        <v>14</v>
      </c>
      <c r="B21" s="110" t="s">
        <v>13</v>
      </c>
      <c r="C21" s="17" t="s">
        <v>13</v>
      </c>
      <c r="D21" s="111"/>
      <c r="E21" s="31"/>
    </row>
  </sheetData>
  <mergeCells count="1">
    <mergeCell ref="A1:B1"/>
  </mergeCells>
  <conditionalFormatting sqref="B8:B18">
    <cfRule type="containsText" dxfId="4827" priority="7" operator="containsText" text="Hear">
      <formula>NOT(ISERROR(SEARCH("Hear",B8)))</formula>
    </cfRule>
  </conditionalFormatting>
  <conditionalFormatting sqref="B19:B21">
    <cfRule type="containsText" dxfId="4826" priority="13" operator="containsText" text="Hear">
      <formula>NOT(ISERROR(SEARCH("Hear",B19)))</formula>
    </cfRule>
  </conditionalFormatting>
  <conditionalFormatting sqref="E21">
    <cfRule type="containsText" dxfId="4825" priority="11" operator="containsText" text="WEB SERVICE">
      <formula>NOT(ISERROR(SEARCH("WEB SERVICE",E21)))</formula>
    </cfRule>
    <cfRule type="containsText" dxfId="4824" priority="12" operator="containsText" text="DB">
      <formula>NOT(ISERROR(SEARCH("DB",E21)))</formula>
    </cfRule>
  </conditionalFormatting>
  <conditionalFormatting sqref="C21">
    <cfRule type="expression" dxfId="4823" priority="14">
      <formula>$B21="Dial"</formula>
    </cfRule>
    <cfRule type="expression" dxfId="4822" priority="16">
      <formula>$B21="HANGUP"</formula>
    </cfRule>
  </conditionalFormatting>
  <conditionalFormatting sqref="C21">
    <cfRule type="expression" dxfId="4821" priority="8">
      <formula>$B21="Speak"</formula>
    </cfRule>
  </conditionalFormatting>
  <hyperlinks>
    <hyperlink ref="A1" location="'Test Case Overview'!A1" display="Return to Test Case Overview" xr:uid="{00000000-0004-0000-39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7" id="{FE07B0F0-A908-40F0-8844-075F06A6860F}">
            <xm:f>'TC1'!$B8="HANGUP"</xm:f>
            <x14:dxf>
              <font>
                <b/>
                <i val="0"/>
              </font>
            </x14:dxf>
          </x14:cfRule>
          <x14:cfRule type="expression" priority="18" id="{EC3F7A00-D926-4D4B-91D3-2CC18CDEFFF2}">
            <xm:f>'TC1'!$B8="Dial"</xm:f>
            <x14:dxf>
              <font>
                <b/>
                <i val="0"/>
                <color rgb="FFFF0000"/>
              </font>
            </x14:dxf>
          </x14:cfRule>
          <xm:sqref>C8</xm:sqref>
        </x14:conditionalFormatting>
        <x14:conditionalFormatting xmlns:xm="http://schemas.microsoft.com/office/excel/2006/main">
          <x14:cfRule type="expression" priority="19" id="{8A8D28BA-21DC-486F-AB85-2F66C44C3FBD}">
            <xm:f>'TC1'!$B8="Speak"</xm:f>
            <x14:dxf>
              <font>
                <b/>
                <i val="0"/>
                <color rgb="FFFF0000"/>
              </font>
            </x14:dxf>
          </x14:cfRule>
          <xm:sqref>C8</xm:sqref>
        </x14:conditionalFormatting>
        <x14:conditionalFormatting xmlns:xm="http://schemas.microsoft.com/office/excel/2006/main">
          <x14:cfRule type="containsText" priority="15" operator="containsText" text="DB" id="{9BD1267F-7148-4782-82EC-4195749C3FA0}">
            <xm:f>NOT(ISERROR(SEARCH("DB",'TC1'!E10)))</xm:f>
            <x14:dxf>
              <font>
                <color rgb="FF006100"/>
              </font>
              <fill>
                <patternFill>
                  <bgColor rgb="FFC6EFCE"/>
                </patternFill>
              </fill>
            </x14:dxf>
          </x14:cfRule>
          <x14:cfRule type="containsText" priority="20" operator="containsText" text="WEB SERVICE" id="{63CFC573-9B52-4321-896E-16B3891D8A2E}">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414" id="{FE07B0F0-A908-40F0-8844-075F06A6860F}">
            <xm:f>'TC1'!#REF!="HANGUP"</xm:f>
            <x14:dxf>
              <font>
                <b/>
                <i val="0"/>
              </font>
            </x14:dxf>
          </x14:cfRule>
          <x14:cfRule type="expression" priority="1415" id="{EC3F7A00-D926-4D4B-91D3-2CC18CDEFFF2}">
            <xm:f>'TC1'!#REF!="Dial"</xm:f>
            <x14:dxf>
              <font>
                <b/>
                <i val="0"/>
                <color rgb="FFFF0000"/>
              </font>
            </x14:dxf>
          </x14:cfRule>
          <xm:sqref>C13:C14 C16 C18:C20</xm:sqref>
        </x14:conditionalFormatting>
        <x14:conditionalFormatting xmlns:xm="http://schemas.microsoft.com/office/excel/2006/main">
          <x14:cfRule type="expression" priority="1420" id="{8A8D28BA-21DC-486F-AB85-2F66C44C3FBD}">
            <xm:f>'TC1'!#REF!="Speak"</xm:f>
            <x14:dxf>
              <font>
                <b/>
                <i val="0"/>
                <color rgb="FFFF0000"/>
              </font>
            </x14:dxf>
          </x14:cfRule>
          <xm:sqref>C13:C14 C16 C18:C20</xm:sqref>
        </x14:conditionalFormatting>
        <x14:conditionalFormatting xmlns:xm="http://schemas.microsoft.com/office/excel/2006/main">
          <x14:cfRule type="containsText" priority="1426" operator="containsText" text="DB" id="{9BD1267F-7148-4782-82EC-4195749C3FA0}">
            <xm:f>NOT(ISERROR(SEARCH("DB",'TC1'!#REF!)))</xm:f>
            <x14:dxf>
              <font>
                <color rgb="FF006100"/>
              </font>
              <fill>
                <patternFill>
                  <bgColor rgb="FFC6EFCE"/>
                </patternFill>
              </fill>
            </x14:dxf>
          </x14:cfRule>
          <x14:cfRule type="containsText" priority="1427" operator="containsText" text="WEB SERVICE" id="{63CFC573-9B52-4321-896E-16B3891D8A2E}">
            <xm:f>NOT(ISERROR(SEARCH("WEB SERVICE",'TC1'!#REF!)))</xm:f>
            <x14:dxf>
              <font>
                <color rgb="FF9C0006"/>
              </font>
              <fill>
                <patternFill>
                  <bgColor rgb="FFFFC7CE"/>
                </patternFill>
              </fill>
            </x14:dxf>
          </x14:cfRule>
          <xm:sqref>E13:E20</xm:sqref>
        </x14:conditionalFormatting>
        <x14:conditionalFormatting xmlns:xm="http://schemas.microsoft.com/office/excel/2006/main">
          <x14:cfRule type="expression" priority="3820" id="{FE07B0F0-A908-40F0-8844-075F06A6860F}">
            <xm:f>'TC1'!$B10="HANGUP"</xm:f>
            <x14:dxf>
              <font>
                <b/>
                <i val="0"/>
              </font>
            </x14:dxf>
          </x14:cfRule>
          <x14:cfRule type="expression" priority="3821" id="{EC3F7A00-D926-4D4B-91D3-2CC18CDEFFF2}">
            <xm:f>'TC1'!$B10="Dial"</xm:f>
            <x14:dxf>
              <font>
                <b/>
                <i val="0"/>
                <color rgb="FFFF0000"/>
              </font>
            </x14:dxf>
          </x14:cfRule>
          <xm:sqref>C9:C12</xm:sqref>
        </x14:conditionalFormatting>
        <x14:conditionalFormatting xmlns:xm="http://schemas.microsoft.com/office/excel/2006/main">
          <x14:cfRule type="expression" priority="3823" id="{8A8D28BA-21DC-486F-AB85-2F66C44C3FBD}">
            <xm:f>'TC1'!$B10="Speak"</xm:f>
            <x14:dxf>
              <font>
                <b/>
                <i val="0"/>
                <color rgb="FFFF0000"/>
              </font>
            </x14:dxf>
          </x14:cfRule>
          <xm:sqref>C9:C12</xm:sqref>
        </x14:conditionalFormatting>
        <x14:conditionalFormatting xmlns:xm="http://schemas.microsoft.com/office/excel/2006/main">
          <x14:cfRule type="expression" priority="4" id="{C572CD42-A063-44FE-82E5-7A2878EC5F0D}">
            <xm:f>'\Users\deannah\Wyndham Testing\[Wyndham Destinations_TestCaseOverview_V3_Template.xlsx]TC1'!#REF!="HANGUP"</xm:f>
            <x14:dxf>
              <font>
                <b/>
                <i val="0"/>
              </font>
            </x14:dxf>
          </x14:cfRule>
          <x14:cfRule type="expression" priority="5" id="{F3575368-86D3-4A37-9D80-F3146FB7DFBF}">
            <xm:f>'\Users\deannah\Wyndham Testing\[Wyndham Destinations_TestCaseOverview_V3_Template.xlsx]TC1'!#REF!="Dial"</xm:f>
            <x14:dxf>
              <font>
                <b/>
                <i val="0"/>
                <color rgb="FFFF0000"/>
              </font>
            </x14:dxf>
          </x14:cfRule>
          <xm:sqref>C15</xm:sqref>
        </x14:conditionalFormatting>
        <x14:conditionalFormatting xmlns:xm="http://schemas.microsoft.com/office/excel/2006/main">
          <x14:cfRule type="expression" priority="6" id="{81836183-A0FF-4A79-87DE-6F31F0B45007}">
            <xm:f>'\Users\deannah\Wyndham Testing\[Wyndham Destinations_TestCaseOverview_V3_Template.xlsx]TC1'!#REF!="Speak"</xm:f>
            <x14:dxf>
              <font>
                <b/>
                <i val="0"/>
                <color rgb="FFFF0000"/>
              </font>
            </x14:dxf>
          </x14:cfRule>
          <xm:sqref>C15</xm:sqref>
        </x14:conditionalFormatting>
        <x14:conditionalFormatting xmlns:xm="http://schemas.microsoft.com/office/excel/2006/main">
          <x14:cfRule type="expression" priority="1" id="{0FC866A8-01B0-466B-9586-A1702DF42DFF}">
            <xm:f>'\Users\deannah\Wyndham Testing\[Wyndham Destinations_TestCaseOverview_V3_Template.xlsx]TC1'!#REF!="HANGUP"</xm:f>
            <x14:dxf>
              <font>
                <b/>
                <i val="0"/>
              </font>
            </x14:dxf>
          </x14:cfRule>
          <x14:cfRule type="expression" priority="2" id="{BED8DB74-4328-46A4-A9A4-4088BCADA600}">
            <xm:f>'\Users\deannah\Wyndham Testing\[Wyndham Destinations_TestCaseOverview_V3_Template.xlsx]TC1'!#REF!="Dial"</xm:f>
            <x14:dxf>
              <font>
                <b/>
                <i val="0"/>
                <color rgb="FFFF0000"/>
              </font>
            </x14:dxf>
          </x14:cfRule>
          <xm:sqref>C17</xm:sqref>
        </x14:conditionalFormatting>
        <x14:conditionalFormatting xmlns:xm="http://schemas.microsoft.com/office/excel/2006/main">
          <x14:cfRule type="expression" priority="3" id="{6CC45525-4236-4309-9586-0D8D6C8C3150}">
            <xm:f>'\Users\deannah\Wyndham Testing\[Wyndham Destinations_TestCaseOverview_V3_Template.xlsx]TC1'!#REF!="Speak"</xm:f>
            <x14:dxf>
              <font>
                <b/>
                <i val="0"/>
                <color rgb="FFFF0000"/>
              </font>
            </x14:dxf>
          </x14:cfRule>
          <xm:sqref>C17</xm:sqref>
        </x14:conditionalFormatting>
      </x14:conditionalFormatting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0"/>
  <dimension ref="A1:E23"/>
  <sheetViews>
    <sheetView zoomScaleNormal="100" workbookViewId="0">
      <selection activeCell="B9" sqref="B9:B11"/>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TC58</v>
      </c>
      <c r="C2" s="94"/>
      <c r="D2" s="107"/>
      <c r="E2" s="93"/>
    </row>
    <row r="3" spans="1:5">
      <c r="A3" s="100" t="s">
        <v>19</v>
      </c>
      <c r="B3" s="108">
        <f ca="1">VLOOKUP(B2,Table1[#All],2,FALSE)</f>
        <v>0</v>
      </c>
      <c r="C3" s="94"/>
      <c r="D3" s="107"/>
      <c r="E3" s="93"/>
    </row>
    <row r="4" spans="1:5" ht="30">
      <c r="A4" s="109" t="s">
        <v>20</v>
      </c>
      <c r="B4" s="95" t="str">
        <f ca="1">VLOOKUP(B2,Table1[#All],4,FALSE)</f>
        <v>AutoPay not active, currentAMTDue</v>
      </c>
      <c r="C4" s="94"/>
      <c r="D4" s="107"/>
      <c r="E4" s="93"/>
    </row>
    <row r="5" spans="1:5" ht="60">
      <c r="A5" s="100" t="s">
        <v>6</v>
      </c>
      <c r="B5" s="89" t="str">
        <f ca="1">VLOOKUP(B2,Table1[#All],3,FALSE)</f>
        <v>CallStart MM/Payments/ check status/ID Auth/FinSVCS2/FinSVCS3/Autopay not active/Hear current AmtDue/Say no to mk pmt now/HU at Wrap menu 2</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VLOOKUP(Table25755252691013434446474849565758596315181719224566677172737476777879939495100102[[#This Row],[PEG]],Table1016[#All],2,FALSE)</f>
        <v>CallID.wav Call ID &lt;CallID&gt;</v>
      </c>
      <c r="D9" s="145" t="s">
        <v>477</v>
      </c>
      <c r="E9" s="122" t="str">
        <f>VLOOKUP(Table25755252691013434446474849565758596315181719224566677172737476777879939495100102[[#This Row],[PEG]],Table1016[#All],3,FALSE)</f>
        <v>TEST</v>
      </c>
    </row>
    <row r="10" spans="1:5" ht="30">
      <c r="A10" s="114">
        <v>3</v>
      </c>
      <c r="B10" s="110" t="s">
        <v>115</v>
      </c>
      <c r="C10" s="105" t="str">
        <f>VLOOKUP(Table25755252691013434446474849565758596315181719224566677172737476777879939495100102[[#This Row],[PEG]],Table1016[#All],2,FALSE)</f>
        <v>0100.wav Thank you for calling Shell vacations Club, we are glad you called. Please have your account number available for faster service. [To continue in Spanish, press 9]</v>
      </c>
      <c r="D10" s="145">
        <v>100</v>
      </c>
      <c r="E10" s="122" t="str">
        <f>VLOOKUP(Table25755252691013434446474849565758596315181719224566677172737476777879939495100102[[#This Row],[PEG]],Table1016[#All],3,FALSE)</f>
        <v>PLAY PROMPT</v>
      </c>
    </row>
    <row r="11" spans="1:5" ht="30">
      <c r="A11" s="114">
        <v>4</v>
      </c>
      <c r="B11" s="110" t="s">
        <v>115</v>
      </c>
      <c r="C11" s="105" t="str">
        <f>VLOOKUP(Table25755252691013434446474849565758596315181719224566677172737476777879939495100102[[#This Row],[PEG]],Table1016[#All],2,FALSE)</f>
        <v>0110-1.wav Which would you like? You can say... reservations, payments &amp; statements, title &amp; ownership changes, or more options.</v>
      </c>
      <c r="D11" s="145">
        <v>110</v>
      </c>
      <c r="E11" s="122" t="str">
        <f>VLOOKUP(Table25755252691013434446474849565758596315181719224566677172737476777879939495100102[[#This Row],[PEG]],Table1016[#All],3,FALSE)</f>
        <v>MENU PROMPT</v>
      </c>
    </row>
    <row r="12" spans="1:5">
      <c r="A12" s="114">
        <v>5</v>
      </c>
      <c r="B12" s="110" t="s">
        <v>124</v>
      </c>
      <c r="C12" s="158" t="s">
        <v>565</v>
      </c>
      <c r="D12" s="145"/>
      <c r="E12" s="122" t="e">
        <f>VLOOKUP(Table25755252691013434446474849565758596315181719224566677172737476777879939495100102[[#This Row],[PEG]],Table1016[#All],3,FALSE)</f>
        <v>#N/A</v>
      </c>
    </row>
    <row r="13" spans="1:5" ht="30">
      <c r="A13" s="114">
        <v>6</v>
      </c>
      <c r="B13" s="110" t="s">
        <v>115</v>
      </c>
      <c r="C13" s="105" t="str">
        <f>VLOOKUP(Table25755252691013434446474849565758596315181719224566677172737476777879939495100102[[#This Row],[PEG]],Table1016[#All],2,FALSE)</f>
        <v>400.wav You can say make a payment, check account status, request a document, or more options. Which would you like?</v>
      </c>
      <c r="D13" s="145">
        <v>400</v>
      </c>
      <c r="E13" s="122" t="str">
        <f>VLOOKUP(Table25755252691013434446474849565758596315181719224566677172737476777879939495100102[[#This Row],[PEG]],Table1016[#All],3,FALSE)</f>
        <v>MENU PROMPT</v>
      </c>
    </row>
    <row r="14" spans="1:5">
      <c r="A14" s="114">
        <v>7</v>
      </c>
      <c r="B14" s="110" t="s">
        <v>124</v>
      </c>
      <c r="C14" s="151" t="s">
        <v>583</v>
      </c>
      <c r="D14" s="125"/>
      <c r="E14" s="122" t="e">
        <f>VLOOKUP(Table25755252691013434446474849565758596315181719224566677172737476777879939495100102[[#This Row],[PEG]],Table1016[#All],3,FALSE)</f>
        <v>#N/A</v>
      </c>
    </row>
    <row r="15" spans="1:5">
      <c r="A15" s="114">
        <v>8</v>
      </c>
      <c r="B15" s="110" t="s">
        <v>115</v>
      </c>
      <c r="C15" s="105" t="str">
        <f>VLOOKUP(Table25755252691013434446474849565758596315181719224566677172737476777879939495100102[[#This Row],[PEG]],Table1016[#All],2,FALSE)</f>
        <v>0200-1.wav To get started, what is your account number?</v>
      </c>
      <c r="D15" s="112">
        <v>200</v>
      </c>
      <c r="E15" s="122" t="str">
        <f>VLOOKUP(Table25755252691013434446474849565758596315181719224566677172737476777879939495100102[[#This Row],[PEG]],Table1016[#All],3,FALSE)</f>
        <v>MENU PROMPT</v>
      </c>
    </row>
    <row r="16" spans="1:5">
      <c r="A16" s="114">
        <v>9</v>
      </c>
      <c r="B16" s="110" t="s">
        <v>114</v>
      </c>
      <c r="C16" s="151" t="s">
        <v>515</v>
      </c>
      <c r="D16" s="112"/>
      <c r="E16" s="122" t="e">
        <f>VLOOKUP(Table25755252691013434446474849565758596315181719224566677172737476777879939495100102[[#This Row],[PEG]],Table1016[#All],3,FALSE)</f>
        <v>#N/A</v>
      </c>
    </row>
    <row r="17" spans="1:5">
      <c r="A17" s="114">
        <v>10</v>
      </c>
      <c r="B17" s="110" t="s">
        <v>115</v>
      </c>
      <c r="C17" s="105" t="str">
        <f>VLOOKUP(Table25755252691013434446474849565758596315181719224566677172737476777879939495100102[[#This Row],[PEG]],Table1016[#All],2,FALSE)</f>
        <v>0210-1.wav And the date of birth for the primary owner?</v>
      </c>
      <c r="D17" s="113">
        <v>210</v>
      </c>
      <c r="E17" s="122" t="str">
        <f>VLOOKUP(Table25755252691013434446474849565758596315181719224566677172737476777879939495100102[[#This Row],[PEG]],Table1016[#All],3,FALSE)</f>
        <v>MENU PROMPT</v>
      </c>
    </row>
    <row r="18" spans="1:5">
      <c r="A18" s="114">
        <v>11</v>
      </c>
      <c r="B18" s="110" t="s">
        <v>124</v>
      </c>
      <c r="C18" s="151" t="s">
        <v>524</v>
      </c>
      <c r="D18" s="113"/>
      <c r="E18" s="122" t="e">
        <f>VLOOKUP(Table25755252691013434446474849565758596315181719224566677172737476777879939495100102[[#This Row],[PEG]],Table1016[#All],3,FALSE)</f>
        <v>#N/A</v>
      </c>
    </row>
    <row r="19" spans="1:5" ht="30">
      <c r="A19" s="114">
        <v>12</v>
      </c>
      <c r="B19" s="110" t="s">
        <v>115</v>
      </c>
      <c r="C19" s="105" t="str">
        <f>VLOOKUP(Table25755252691013434446474849565758596315181719224566677172737476777879939495100102[[#This Row],[PEG]],Table1016[#All],2,FALSE)</f>
        <v>Autopay.wav Many customers appreciate the convenience of our automatic payment service. To enroll... &lt;content TBD&gt;</v>
      </c>
      <c r="D19" s="113">
        <v>440</v>
      </c>
      <c r="E19" s="122" t="str">
        <f>VLOOKUP(Table25755252691013434446474849565758596315181719224566677172737476777879939495100102[[#This Row],[PEG]],Table1016[#All],3,FALSE)</f>
        <v>PLAY PROMPT</v>
      </c>
    </row>
    <row r="20" spans="1:5" ht="30">
      <c r="A20" s="114">
        <v>13</v>
      </c>
      <c r="B20" s="110" t="s">
        <v>115</v>
      </c>
      <c r="C20" s="105" t="str">
        <f>VLOOKUP(Table25755252691013434446474849565758596315181719224566677172737476777879939495100102[[#This Row],[PEG]],Table1016[#All],2,FALSE)</f>
        <v>0450-1.wav Your current amount due is [amount] which includes a loan payment of [amount] for contract number(s) [xxxxxxxxxx] and an assessment balance of [amount]. Would you like to make a payment today?</v>
      </c>
      <c r="D20" s="113">
        <v>450</v>
      </c>
      <c r="E20" s="122" t="str">
        <f>VLOOKUP(Table25755252691013434446474849565758596315181719224566677172737476777879939495100102[[#This Row],[PEG]],Table1016[#All],3,FALSE)</f>
        <v>MENU PROMPT</v>
      </c>
    </row>
    <row r="21" spans="1:5">
      <c r="A21" s="114">
        <v>14</v>
      </c>
      <c r="B21" s="110" t="s">
        <v>124</v>
      </c>
      <c r="C21" s="151" t="s">
        <v>584</v>
      </c>
      <c r="D21" s="113"/>
      <c r="E21" s="122" t="e">
        <f>VLOOKUP(Table25755252691013434446474849565758596315181719224566677172737476777879939495100102[[#This Row],[PEG]],Table1016[#All],3,FALSE)</f>
        <v>#N/A</v>
      </c>
    </row>
    <row r="22" spans="1:5">
      <c r="A22" s="114">
        <v>15</v>
      </c>
      <c r="B22" s="110" t="s">
        <v>115</v>
      </c>
      <c r="C22" s="105" t="str">
        <f>VLOOKUP(Table25755252691013434446474849565758596315181719224566677172737476777879939495100102[[#This Row],[PEG]],Table1016[#All],2,FALSE)</f>
        <v>0930.wav Is there anything else I can help you with today? You can say main menu or simply hang up.</v>
      </c>
      <c r="D22" s="113">
        <v>930</v>
      </c>
      <c r="E22" s="122" t="str">
        <f>VLOOKUP(Table25755252691013434446474849565758596315181719224566677172737476777879939495100102[[#This Row],[PEG]],Table1016[#All],3,FALSE)</f>
        <v>MENU PROMPT</v>
      </c>
    </row>
    <row r="23" spans="1:5">
      <c r="A23" s="114">
        <v>16</v>
      </c>
      <c r="B23" s="110" t="s">
        <v>13</v>
      </c>
      <c r="C23" s="17" t="s">
        <v>13</v>
      </c>
      <c r="D23" s="111"/>
      <c r="E23" s="31"/>
    </row>
  </sheetData>
  <mergeCells count="1">
    <mergeCell ref="A1:B1"/>
  </mergeCells>
  <conditionalFormatting sqref="B8:B18">
    <cfRule type="containsText" dxfId="4792" priority="4" operator="containsText" text="Hear">
      <formula>NOT(ISERROR(SEARCH("Hear",B8)))</formula>
    </cfRule>
  </conditionalFormatting>
  <conditionalFormatting sqref="B19:B23">
    <cfRule type="containsText" dxfId="4791" priority="10" operator="containsText" text="Hear">
      <formula>NOT(ISERROR(SEARCH("Hear",B19)))</formula>
    </cfRule>
  </conditionalFormatting>
  <conditionalFormatting sqref="E23">
    <cfRule type="containsText" dxfId="4790" priority="8" operator="containsText" text="WEB SERVICE">
      <formula>NOT(ISERROR(SEARCH("WEB SERVICE",E23)))</formula>
    </cfRule>
    <cfRule type="containsText" dxfId="4789" priority="9" operator="containsText" text="DB">
      <formula>NOT(ISERROR(SEARCH("DB",E23)))</formula>
    </cfRule>
  </conditionalFormatting>
  <conditionalFormatting sqref="C23">
    <cfRule type="expression" dxfId="4788" priority="13">
      <formula>$B23="HANGUP"</formula>
    </cfRule>
  </conditionalFormatting>
  <hyperlinks>
    <hyperlink ref="A1" location="'Test Case Overview'!A1" display="Return to Test Case Overview" xr:uid="{00000000-0004-0000-3A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4" id="{3269F77D-9637-40F5-A2C9-D159530A2415}">
            <xm:f>'TC1'!$B8="HANGUP"</xm:f>
            <x14:dxf>
              <font>
                <b/>
                <i val="0"/>
              </font>
            </x14:dxf>
          </x14:cfRule>
          <x14:cfRule type="expression" priority="15" id="{0A63B2D7-280F-4DF8-A31B-BEF9DC05D5D7}">
            <xm:f>'TC1'!$B8="Dial"</xm:f>
            <x14:dxf>
              <font>
                <b/>
                <i val="0"/>
                <color rgb="FFFF0000"/>
              </font>
            </x14:dxf>
          </x14:cfRule>
          <xm:sqref>C8</xm:sqref>
        </x14:conditionalFormatting>
        <x14:conditionalFormatting xmlns:xm="http://schemas.microsoft.com/office/excel/2006/main">
          <x14:cfRule type="expression" priority="16" id="{B0C77B0B-3FA8-44F2-A795-ABD315DCAB38}">
            <xm:f>'TC1'!$B8="Speak"</xm:f>
            <x14:dxf>
              <font>
                <b/>
                <i val="0"/>
                <color rgb="FFFF0000"/>
              </font>
            </x14:dxf>
          </x14:cfRule>
          <xm:sqref>C8</xm:sqref>
        </x14:conditionalFormatting>
        <x14:conditionalFormatting xmlns:xm="http://schemas.microsoft.com/office/excel/2006/main">
          <x14:cfRule type="containsText" priority="12" operator="containsText" text="DB" id="{570C779A-9335-4DBE-ABAF-C0A04EA863CC}">
            <xm:f>NOT(ISERROR(SEARCH("DB",'TC1'!E10)))</xm:f>
            <x14:dxf>
              <font>
                <color rgb="FF006100"/>
              </font>
              <fill>
                <patternFill>
                  <bgColor rgb="FFC6EFCE"/>
                </patternFill>
              </fill>
            </x14:dxf>
          </x14:cfRule>
          <x14:cfRule type="containsText" priority="17" operator="containsText" text="WEB SERVICE" id="{2ED24250-7DD4-49A6-9BE7-ED90988F7375}">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431" id="{3269F77D-9637-40F5-A2C9-D159530A2415}">
            <xm:f>'TC1'!#REF!="HANGUP"</xm:f>
            <x14:dxf>
              <font>
                <b/>
                <i val="0"/>
              </font>
            </x14:dxf>
          </x14:cfRule>
          <x14:cfRule type="expression" priority="1432" id="{0A63B2D7-280F-4DF8-A31B-BEF9DC05D5D7}">
            <xm:f>'TC1'!#REF!="Dial"</xm:f>
            <x14:dxf>
              <font>
                <b/>
                <i val="0"/>
                <color rgb="FFFF0000"/>
              </font>
            </x14:dxf>
          </x14:cfRule>
          <xm:sqref>C13:C15 C17:C22</xm:sqref>
        </x14:conditionalFormatting>
        <x14:conditionalFormatting xmlns:xm="http://schemas.microsoft.com/office/excel/2006/main">
          <x14:cfRule type="expression" priority="1437" id="{B0C77B0B-3FA8-44F2-A795-ABD315DCAB38}">
            <xm:f>'TC1'!#REF!="Speak"</xm:f>
            <x14:dxf>
              <font>
                <b/>
                <i val="0"/>
                <color rgb="FFFF0000"/>
              </font>
            </x14:dxf>
          </x14:cfRule>
          <xm:sqref>C13:C15 C17:C22</xm:sqref>
        </x14:conditionalFormatting>
        <x14:conditionalFormatting xmlns:xm="http://schemas.microsoft.com/office/excel/2006/main">
          <x14:cfRule type="containsText" priority="1443" operator="containsText" text="DB" id="{570C779A-9335-4DBE-ABAF-C0A04EA863CC}">
            <xm:f>NOT(ISERROR(SEARCH("DB",'TC1'!#REF!)))</xm:f>
            <x14:dxf>
              <font>
                <color rgb="FF006100"/>
              </font>
              <fill>
                <patternFill>
                  <bgColor rgb="FFC6EFCE"/>
                </patternFill>
              </fill>
            </x14:dxf>
          </x14:cfRule>
          <x14:cfRule type="containsText" priority="1444" operator="containsText" text="WEB SERVICE" id="{2ED24250-7DD4-49A6-9BE7-ED90988F7375}">
            <xm:f>NOT(ISERROR(SEARCH("WEB SERVICE",'TC1'!#REF!)))</xm:f>
            <x14:dxf>
              <font>
                <color rgb="FF9C0006"/>
              </font>
              <fill>
                <patternFill>
                  <bgColor rgb="FFFFC7CE"/>
                </patternFill>
              </fill>
            </x14:dxf>
          </x14:cfRule>
          <xm:sqref>E13:E22</xm:sqref>
        </x14:conditionalFormatting>
        <x14:conditionalFormatting xmlns:xm="http://schemas.microsoft.com/office/excel/2006/main">
          <x14:cfRule type="expression" priority="3825" id="{3269F77D-9637-40F5-A2C9-D159530A2415}">
            <xm:f>'TC1'!$B10="HANGUP"</xm:f>
            <x14:dxf>
              <font>
                <b/>
                <i val="0"/>
              </font>
            </x14:dxf>
          </x14:cfRule>
          <x14:cfRule type="expression" priority="3826" id="{0A63B2D7-280F-4DF8-A31B-BEF9DC05D5D7}">
            <xm:f>'TC1'!$B10="Dial"</xm:f>
            <x14:dxf>
              <font>
                <b/>
                <i val="0"/>
                <color rgb="FFFF0000"/>
              </font>
            </x14:dxf>
          </x14:cfRule>
          <xm:sqref>C9:C12</xm:sqref>
        </x14:conditionalFormatting>
        <x14:conditionalFormatting xmlns:xm="http://schemas.microsoft.com/office/excel/2006/main">
          <x14:cfRule type="expression" priority="3828" id="{B0C77B0B-3FA8-44F2-A795-ABD315DCAB38}">
            <xm:f>'TC1'!$B10="Speak"</xm:f>
            <x14:dxf>
              <font>
                <b/>
                <i val="0"/>
                <color rgb="FFFF0000"/>
              </font>
            </x14:dxf>
          </x14:cfRule>
          <xm:sqref>C9:C12</xm:sqref>
        </x14:conditionalFormatting>
        <x14:conditionalFormatting xmlns:xm="http://schemas.microsoft.com/office/excel/2006/main">
          <x14:cfRule type="expression" priority="1" id="{30E44144-B1B8-4EB1-BAD5-4B2D4E345B1F}">
            <xm:f>'\Users\deannah\Wyndham Testing\[Wyndham Destinations_TestCaseOverview_V3_Template.xlsx]TC1'!#REF!="HANGUP"</xm:f>
            <x14:dxf>
              <font>
                <b/>
                <i val="0"/>
              </font>
            </x14:dxf>
          </x14:cfRule>
          <x14:cfRule type="expression" priority="2" id="{135BCA07-6778-470F-8381-55040B5DFC61}">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3" id="{D5225A13-E8E8-41F2-979D-796CA05D3FCB}">
            <xm:f>'\Users\deannah\Wyndham Testing\[Wyndham Destinations_TestCaseOverview_V3_Template.xlsx]TC1'!#REF!="Speak"</xm:f>
            <x14:dxf>
              <font>
                <b/>
                <i val="0"/>
                <color rgb="FFFF0000"/>
              </font>
            </x14:dxf>
          </x14:cfRule>
          <xm:sqref>C16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E35"/>
  <sheetViews>
    <sheetView zoomScaleNormal="100" workbookViewId="0">
      <selection activeCell="B23" sqref="B23"/>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8" t="s">
        <v>4</v>
      </c>
      <c r="B1" s="199"/>
      <c r="C1" s="101"/>
    </row>
    <row r="2" spans="1:5">
      <c r="A2" s="102" t="s">
        <v>5</v>
      </c>
      <c r="B2" s="103" t="str">
        <f ca="1">MID(CELL("filename",A1),FIND("]",CELL("filename",A1))+1,LEN(CELL("filename",A1))-FIND("]",CELL("filename",A1)))</f>
        <v>TC5</v>
      </c>
    </row>
    <row r="3" spans="1:5">
      <c r="A3" s="100" t="s">
        <v>19</v>
      </c>
      <c r="B3" s="108">
        <f ca="1">VLOOKUP(B2,Table1[#All],2,FALSE)</f>
        <v>0</v>
      </c>
    </row>
    <row r="4" spans="1:5" ht="30">
      <c r="A4" s="109" t="s">
        <v>20</v>
      </c>
      <c r="B4" s="95">
        <f ca="1">VLOOKUP(B2,Table1[#All],4,FALSE)</f>
        <v>0</v>
      </c>
    </row>
    <row r="5" spans="1:5" ht="30">
      <c r="A5" s="100" t="s">
        <v>6</v>
      </c>
      <c r="B5" s="89" t="str">
        <f ca="1">VLOOKUP(B2,Table1[#All],3,FALSE)</f>
        <v>CallStart Main Menu More options Interval to Xfer</v>
      </c>
    </row>
    <row r="7" spans="1:5" ht="15.75">
      <c r="A7" s="96" t="s">
        <v>7</v>
      </c>
      <c r="B7" s="97" t="s">
        <v>8</v>
      </c>
      <c r="C7" s="98" t="s">
        <v>9</v>
      </c>
      <c r="D7" s="98" t="s">
        <v>14</v>
      </c>
      <c r="E7" s="99" t="s">
        <v>10</v>
      </c>
    </row>
    <row r="8" spans="1:5" s="93" customFormat="1">
      <c r="A8" s="114">
        <v>1</v>
      </c>
      <c r="B8" s="110" t="s">
        <v>114</v>
      </c>
      <c r="C8" s="124" t="s">
        <v>125</v>
      </c>
      <c r="D8" s="125"/>
      <c r="E8" s="122" t="s">
        <v>11</v>
      </c>
    </row>
    <row r="9" spans="1:5" s="93" customFormat="1">
      <c r="A9" s="114">
        <v>2</v>
      </c>
      <c r="B9" s="110" t="s">
        <v>115</v>
      </c>
      <c r="C9" s="146" t="str">
        <f>VLOOKUP(Table25755252670[[#This Row],[PEG]],Table1016[],2,FALSE)</f>
        <v>CallID.wav Call ID &lt;CallID&gt;</v>
      </c>
      <c r="D9" s="145" t="s">
        <v>477</v>
      </c>
      <c r="E9" s="122"/>
    </row>
    <row r="10" spans="1:5" s="93" customFormat="1" ht="30">
      <c r="A10" s="114">
        <v>3</v>
      </c>
      <c r="B10" s="110" t="s">
        <v>115</v>
      </c>
      <c r="C10" s="105" t="str">
        <f>VLOOKUP(Table25755252691112[[#This Row],[PEG]],Table1016[#All],2,FALSE)</f>
        <v>0100.wav Thank you for calling Shell vacations Club, we are glad you called. Please have your account number available for faster service. [To continue in Spanish, press 9]</v>
      </c>
      <c r="D10" s="145">
        <v>100</v>
      </c>
      <c r="E10" s="122" t="str">
        <f>VLOOKUP(Table25755252691112[[#This Row],[PEG]],Table1016[#All],3,FALSE)</f>
        <v>PLAY PROMPT</v>
      </c>
    </row>
    <row r="11" spans="1:5" s="93" customFormat="1" ht="30">
      <c r="A11" s="114">
        <v>4</v>
      </c>
      <c r="B11" s="110" t="s">
        <v>115</v>
      </c>
      <c r="C11" s="105" t="str">
        <f>VLOOKUP(Table25755252691112[[#This Row],[PEG]],Table1016[#All],2,FALSE)</f>
        <v>0110-1.wav Which would you like? You can say... reservations, payments &amp; statements, title &amp; ownership changes, or more options.</v>
      </c>
      <c r="D11" s="145">
        <v>110</v>
      </c>
      <c r="E11" s="122" t="str">
        <f>VLOOKUP(Table25755252691112[[#This Row],[PEG]],Table1016[#All],3,FALSE)</f>
        <v>MENU PROMPT</v>
      </c>
    </row>
    <row r="12" spans="1:5" s="93" customFormat="1">
      <c r="A12" s="114">
        <v>5</v>
      </c>
      <c r="B12" s="110" t="s">
        <v>124</v>
      </c>
      <c r="C12" s="105" t="s">
        <v>468</v>
      </c>
      <c r="D12" s="145"/>
      <c r="E12" s="122" t="e">
        <f>VLOOKUP(Table25755252691112[[#This Row],[PEG]],Table1016[#All],3,FALSE)</f>
        <v>#N/A</v>
      </c>
    </row>
    <row r="13" spans="1:5" s="93" customFormat="1" ht="30">
      <c r="A13" s="114">
        <v>6</v>
      </c>
      <c r="B13" s="110" t="s">
        <v>115</v>
      </c>
      <c r="C13" s="105" t="str">
        <f>VLOOKUP(Table25755252691112[[#This Row],[PEG]],Table1016[#All],2,FALSE)</f>
        <v>0120-1.wav You can say... Wyndham rewards, points conversion, personal interval choice, or speak to a representative.</v>
      </c>
      <c r="D13" s="145">
        <v>120</v>
      </c>
      <c r="E13" s="122" t="str">
        <f>VLOOKUP(Table25755252691112[[#This Row],[PEG]],Table1016[#All],3,FALSE)</f>
        <v>MENU PROMPT</v>
      </c>
    </row>
    <row r="14" spans="1:5" s="93" customFormat="1">
      <c r="A14" s="114">
        <v>7</v>
      </c>
      <c r="B14" s="110" t="s">
        <v>124</v>
      </c>
      <c r="C14" s="105" t="s">
        <v>472</v>
      </c>
      <c r="D14" s="145"/>
      <c r="E14" s="122" t="e">
        <f>VLOOKUP(Table25755252691112[[#This Row],[PEG]],Table1016[#All],3,FALSE)</f>
        <v>#N/A</v>
      </c>
    </row>
    <row r="15" spans="1:5" s="93" customFormat="1">
      <c r="A15" s="114">
        <v>8</v>
      </c>
      <c r="B15" s="110" t="s">
        <v>115</v>
      </c>
      <c r="C15" s="105" t="str">
        <f>VLOOKUP(Table25755252691112[[#This Row],[PEG]],Table1016[#All],2,FALSE)</f>
        <v>0900.wav Please hold, while I connect you to a customer service representative.</v>
      </c>
      <c r="D15" s="145">
        <v>900</v>
      </c>
      <c r="E15" s="122" t="str">
        <f>VLOOKUP(Table25755252691112[[#This Row],[PEG]],Table1016[#All],3,FALSE)</f>
        <v>PLAY PROMPT</v>
      </c>
    </row>
    <row r="16" spans="1:5">
      <c r="A16" s="114">
        <v>9</v>
      </c>
      <c r="B16" s="110" t="s">
        <v>115</v>
      </c>
      <c r="C16" s="105" t="str">
        <f>VLOOKUP(Table25755252691112[[#This Row],[PEG]],Table1016[#All],2,FALSE)</f>
        <v>XferNbr.wav Transfer Number &lt;TransferNbr&gt;</v>
      </c>
      <c r="D16" s="112" t="s">
        <v>480</v>
      </c>
      <c r="E16" s="122" t="str">
        <f>VLOOKUP(Table25755252691112[[#This Row],[PEG]],Table1016[#All],3,FALSE)</f>
        <v>TEST</v>
      </c>
    </row>
    <row r="17" spans="1:5">
      <c r="A17" s="114">
        <v>10</v>
      </c>
      <c r="B17" s="110" t="s">
        <v>13</v>
      </c>
      <c r="C17" s="105" t="s">
        <v>13</v>
      </c>
      <c r="D17" s="111"/>
      <c r="E17" s="31"/>
    </row>
    <row r="18" spans="1:5">
      <c r="C18" s="25"/>
      <c r="D18" s="107" t="s">
        <v>0</v>
      </c>
    </row>
    <row r="19" spans="1:5">
      <c r="C19" s="25"/>
    </row>
    <row r="20" spans="1:5">
      <c r="C20" s="25"/>
    </row>
    <row r="21" spans="1:5">
      <c r="C21" s="25"/>
    </row>
    <row r="22" spans="1:5">
      <c r="C22" s="25"/>
    </row>
    <row r="23" spans="1:5">
      <c r="C23" s="25"/>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6"/>
    </row>
    <row r="34" spans="3:3">
      <c r="C34" s="26"/>
    </row>
    <row r="35" spans="3:3">
      <c r="C35" s="26"/>
    </row>
  </sheetData>
  <mergeCells count="1">
    <mergeCell ref="A1:B1"/>
  </mergeCells>
  <conditionalFormatting sqref="E17">
    <cfRule type="containsText" dxfId="6581" priority="37" operator="containsText" text="WEB SERVICE">
      <formula>NOT(ISERROR(SEARCH("WEB SERVICE",E17)))</formula>
    </cfRule>
    <cfRule type="containsText" dxfId="6580" priority="38" operator="containsText" text="DB">
      <formula>NOT(ISERROR(SEARCH("DB",E17)))</formula>
    </cfRule>
  </conditionalFormatting>
  <conditionalFormatting sqref="C10:C9974">
    <cfRule type="expression" dxfId="6579" priority="40">
      <formula>$B10="Dial"</formula>
    </cfRule>
    <cfRule type="expression" dxfId="6578" priority="42">
      <formula>$B10="HANGUP"</formula>
    </cfRule>
  </conditionalFormatting>
  <conditionalFormatting sqref="C8">
    <cfRule type="expression" dxfId="6577" priority="3">
      <formula>$B8="Dial"</formula>
    </cfRule>
    <cfRule type="expression" dxfId="6576" priority="4">
      <formula>$B8="HANGUP"</formula>
    </cfRule>
  </conditionalFormatting>
  <conditionalFormatting sqref="B8:B17">
    <cfRule type="containsText" dxfId="6575" priority="7" operator="containsText" text="Hear">
      <formula>NOT(ISERROR(SEARCH("Hear",B8)))</formula>
    </cfRule>
  </conditionalFormatting>
  <conditionalFormatting sqref="C10:C17">
    <cfRule type="expression" dxfId="6574" priority="9">
      <formula>$B10="Speak"</formula>
    </cfRule>
  </conditionalFormatting>
  <conditionalFormatting sqref="C9">
    <cfRule type="expression" dxfId="6573" priority="1">
      <formula>$B9="Dial"</formula>
    </cfRule>
    <cfRule type="expression" dxfId="6572" priority="2">
      <formula>$B9="HANGUP"</formula>
    </cfRule>
  </conditionalFormatting>
  <hyperlinks>
    <hyperlink ref="A1" location="'Test Case Overview'!A1" display="Return to Test Case Overview" xr:uid="{00000000-0004-0000-05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31" operator="containsText" text="WEB SERVICE" id="{6816C8AA-5C25-40A5-BCC9-410D75B75155}">
            <xm:f>NOT(ISERROR(SEARCH("WEB SERVICE",'TC1'!E10)))</xm:f>
            <x14:dxf>
              <font>
                <color rgb="FF9C0006"/>
              </font>
              <fill>
                <patternFill>
                  <bgColor rgb="FFFFC7CE"/>
                </patternFill>
              </fill>
            </x14:dxf>
          </x14:cfRule>
          <x14:cfRule type="containsText" priority="32" operator="containsText" text="DB" id="{C9AE84D9-7B7E-425E-922A-6D5A35A29FCE}">
            <xm:f>NOT(ISERROR(SEARCH("DB",'TC1'!E10)))</xm:f>
            <x14:dxf>
              <font>
                <color rgb="FF006100"/>
              </font>
              <fill>
                <patternFill>
                  <bgColor rgb="FFC6EFCE"/>
                </patternFill>
              </fill>
            </x14:dxf>
          </x14:cfRule>
          <xm:sqref>E10:E13</xm:sqref>
        </x14:conditionalFormatting>
        <x14:conditionalFormatting xmlns:xm="http://schemas.microsoft.com/office/excel/2006/main">
          <x14:cfRule type="containsText" priority="705" operator="containsText" text="WEB SERVICE" id="{6816C8AA-5C25-40A5-BCC9-410D75B75155}">
            <xm:f>NOT(ISERROR(SEARCH("WEB SERVICE",'TC1'!#REF!)))</xm:f>
            <x14:dxf>
              <font>
                <color rgb="FF9C0006"/>
              </font>
              <fill>
                <patternFill>
                  <bgColor rgb="FFFFC7CE"/>
                </patternFill>
              </fill>
            </x14:dxf>
          </x14:cfRule>
          <x14:cfRule type="containsText" priority="706" operator="containsText" text="DB" id="{C9AE84D9-7B7E-425E-922A-6D5A35A29FCE}">
            <xm:f>NOT(ISERROR(SEARCH("DB",'TC1'!#REF!)))</xm:f>
            <x14:dxf>
              <font>
                <color rgb="FF006100"/>
              </font>
              <fill>
                <patternFill>
                  <bgColor rgb="FFC6EFCE"/>
                </patternFill>
              </fill>
            </x14:dxf>
          </x14:cfRule>
          <xm:sqref>E14:E16</xm:sqref>
        </x14:conditionalFormatting>
      </x14:conditionalFormattings>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1"/>
  <dimension ref="A1:E28"/>
  <sheetViews>
    <sheetView zoomScaleNormal="100" workbookViewId="0">
      <selection activeCell="D25" sqref="D25"/>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TC59</v>
      </c>
      <c r="C2" s="94"/>
      <c r="D2" s="107"/>
      <c r="E2" s="93"/>
    </row>
    <row r="3" spans="1:5">
      <c r="A3" s="100" t="s">
        <v>19</v>
      </c>
      <c r="B3" s="108">
        <f ca="1">VLOOKUP(B2,Table1[#All],2,FALSE)</f>
        <v>0</v>
      </c>
      <c r="C3" s="94"/>
      <c r="D3" s="107"/>
      <c r="E3" s="93"/>
    </row>
    <row r="4" spans="1:5" ht="30">
      <c r="A4" s="109" t="s">
        <v>20</v>
      </c>
      <c r="B4" s="95">
        <f ca="1">VLOOKUP(B2,Table1[#All],4,FALSE)</f>
        <v>0</v>
      </c>
      <c r="C4" s="94"/>
      <c r="D4" s="107"/>
      <c r="E4" s="93"/>
    </row>
    <row r="5" spans="1:5" ht="60">
      <c r="A5" s="100" t="s">
        <v>6</v>
      </c>
      <c r="B5" s="89" t="str">
        <f ca="1">VLOOKUP(B2,Table1[#All],3,FALSE)</f>
        <v>CallStart Main Menu /Payments /more options/mailing address/at wrap menu say MM/Payments/more options/wire transfer/at wrap menu HU</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VLOOKUP(Table25755252691013434446474849565758596315181719224566677172737476777879939495100104[[#This Row],[PEG]],Table1016[#All],2,FALSE)</f>
        <v>CallID.wav Call ID &lt;CallID&gt;</v>
      </c>
      <c r="D9" s="149" t="s">
        <v>477</v>
      </c>
      <c r="E9" s="122" t="str">
        <f>VLOOKUP(Table25755252691013434446474849565758596315181719224566677172737476777879939495100104[[#This Row],[PEG]],Table1016[#All],3,FALSE)</f>
        <v>TEST</v>
      </c>
    </row>
    <row r="10" spans="1:5" ht="30">
      <c r="A10" s="114">
        <v>3</v>
      </c>
      <c r="B10" s="110" t="s">
        <v>115</v>
      </c>
      <c r="C10" s="105" t="str">
        <f>VLOOKUP(Table25755252691013434446474849565758596315181719224566677172737476777879939495100104[[#This Row],[PEG]],Table1016[#All],2,FALSE)</f>
        <v>0100.wav Thank you for calling Shell vacations Club, we are glad you called. Please have your account number available for faster service. [To continue in Spanish, press 9]</v>
      </c>
      <c r="D10" s="149">
        <v>100</v>
      </c>
      <c r="E10" s="122" t="str">
        <f>VLOOKUP(Table25755252691013434446474849565758596315181719224566677172737476777879939495100104[[#This Row],[PEG]],Table1016[#All],3,FALSE)</f>
        <v>PLAY PROMPT</v>
      </c>
    </row>
    <row r="11" spans="1:5" ht="30">
      <c r="A11" s="114">
        <v>4</v>
      </c>
      <c r="B11" s="110" t="s">
        <v>115</v>
      </c>
      <c r="C11" s="105" t="str">
        <f>VLOOKUP(Table25755252691013434446474849565758596315181719224566677172737476777879939495100104[[#This Row],[PEG]],Table1016[#All],2,FALSE)</f>
        <v>0110-1.wav Which would you like? You can say... reservations, payments &amp; statements, title &amp; ownership changes, or more options.</v>
      </c>
      <c r="D11" s="149">
        <v>110</v>
      </c>
      <c r="E11" s="122" t="str">
        <f>VLOOKUP(Table25755252691013434446474849565758596315181719224566677172737476777879939495100104[[#This Row],[PEG]],Table1016[#All],3,FALSE)</f>
        <v>MENU PROMPT</v>
      </c>
    </row>
    <row r="12" spans="1:5">
      <c r="A12" s="114">
        <v>5</v>
      </c>
      <c r="B12" s="110" t="s">
        <v>124</v>
      </c>
      <c r="C12" s="158" t="s">
        <v>565</v>
      </c>
      <c r="D12" s="149"/>
      <c r="E12" s="122" t="e">
        <f>VLOOKUP(Table25755252691013434446474849565758596315181719224566677172737476777879939495100104[[#This Row],[PEG]],Table1016[#All],3,FALSE)</f>
        <v>#N/A</v>
      </c>
    </row>
    <row r="13" spans="1:5" ht="30">
      <c r="A13" s="114">
        <v>6</v>
      </c>
      <c r="B13" s="110" t="s">
        <v>115</v>
      </c>
      <c r="C13" s="105" t="str">
        <f>VLOOKUP(Table25755252691013434446474849565758596315181719224566677172737476777879939495100104[[#This Row],[PEG]],Table1016[#All],2,FALSE)</f>
        <v>400.wav You can say make a payment, check account status, request a document, or more options. Which would you like?</v>
      </c>
      <c r="D13" s="149">
        <v>400</v>
      </c>
      <c r="E13" s="122" t="str">
        <f>VLOOKUP(Table25755252691013434446474849565758596315181719224566677172737476777879939495100104[[#This Row],[PEG]],Table1016[#All],3,FALSE)</f>
        <v>MENU PROMPT</v>
      </c>
    </row>
    <row r="14" spans="1:5">
      <c r="A14" s="114">
        <v>7</v>
      </c>
      <c r="B14" s="110" t="s">
        <v>124</v>
      </c>
      <c r="C14" s="151" t="s">
        <v>502</v>
      </c>
      <c r="D14" s="125"/>
      <c r="E14" s="122" t="e">
        <f>VLOOKUP(Table25755252691013434446474849565758596315181719224566677172737476777879939495100104[[#This Row],[PEG]],Table1016[#All],3,FALSE)</f>
        <v>#N/A</v>
      </c>
    </row>
    <row r="15" spans="1:5" ht="30">
      <c r="A15" s="114">
        <v>8</v>
      </c>
      <c r="B15" s="110" t="s">
        <v>115</v>
      </c>
      <c r="C15" s="105" t="str">
        <f>VLOOKUP(Table25755252691013434446474849565758596315181719224566677172737476777879939495100104[[#This Row],[PEG]],Table1016[#All],2,FALSE)</f>
        <v>405.wav You can say Perks by Club Wyndham, mailing address, wire transfer information, down payment questions, or speak to a representative. Which would you like?</v>
      </c>
      <c r="D15" s="112">
        <v>405</v>
      </c>
      <c r="E15" s="122" t="str">
        <f>VLOOKUP(Table25755252691013434446474849565758596315181719224566677172737476777879939495100104[[#This Row],[PEG]],Table1016[#All],3,FALSE)</f>
        <v>MENU PROMPT</v>
      </c>
    </row>
    <row r="16" spans="1:5">
      <c r="A16" s="114">
        <v>9</v>
      </c>
      <c r="B16" s="110" t="s">
        <v>124</v>
      </c>
      <c r="C16" s="151" t="s">
        <v>600</v>
      </c>
      <c r="D16" s="112"/>
      <c r="E16" s="122" t="e">
        <f>VLOOKUP(Table25755252691013434446474849565758596315181719224566677172737476777879939495100104[[#This Row],[PEG]],Table1016[#All],3,FALSE)</f>
        <v>#N/A</v>
      </c>
    </row>
    <row r="17" spans="1:5" ht="90">
      <c r="A17" s="114">
        <v>10</v>
      </c>
      <c r="B17" s="110" t="s">
        <v>115</v>
      </c>
      <c r="C17" s="105" t="str">
        <f>VLOOKUP(Table25755252691013434446474849565758596315181719224566677172737476777879939495100104[[#This Row],[PEG]],Table1016[#All],2,FALSE)</f>
        <v>0415.wav Please make check payable to: Shell Vacations Club and allow 7-14 business days for processing. For Loan Payments, include your account number in the memo section. Indicate that it is a "principal pre-payment", if it is not a normal payment. Mail check to : 
6277 Sea Harbor Drive
Orlando, FL 32821
 [repeats]</v>
      </c>
      <c r="D17" s="113">
        <v>415</v>
      </c>
      <c r="E17" s="122" t="str">
        <f>VLOOKUP(Table25755252691013434446474849565758596315181719224566677172737476777879939495100104[[#This Row],[PEG]],Table1016[#All],3,FALSE)</f>
        <v>PLAY PROMPT</v>
      </c>
    </row>
    <row r="18" spans="1:5" ht="30">
      <c r="A18" s="114">
        <v>11</v>
      </c>
      <c r="B18" s="110" t="s">
        <v>115</v>
      </c>
      <c r="C18" s="105" t="str">
        <f>VLOOKUP(Table25755252691013434446474849565758596315181719224566677172737476777879939495100104[[#This Row],[PEG]],Table1016[#All],2,FALSE)</f>
        <v>0920.wav I've processed your request. Is there anything else I can help you with today? You can say main menu or simply hang up.</v>
      </c>
      <c r="D18" s="113">
        <v>920</v>
      </c>
      <c r="E18" s="122" t="str">
        <f>VLOOKUP(Table25755252691013434446474849565758596315181719224566677172737476777879939495100104[[#This Row],[PEG]],Table1016[#All],3,FALSE)</f>
        <v>MENU PROMPT</v>
      </c>
    </row>
    <row r="19" spans="1:5">
      <c r="A19" s="114">
        <v>12</v>
      </c>
      <c r="B19" s="110" t="s">
        <v>124</v>
      </c>
      <c r="C19" s="151" t="s">
        <v>578</v>
      </c>
      <c r="D19" s="113"/>
      <c r="E19" s="122" t="e">
        <f>VLOOKUP(Table25755252691013434446474849565758596315181719224566677172737476777879939495100104[[#This Row],[PEG]],Table1016[#All],3,FALSE)</f>
        <v>#N/A</v>
      </c>
    </row>
    <row r="20" spans="1:5" ht="30">
      <c r="A20" s="114">
        <v>13</v>
      </c>
      <c r="B20" s="110" t="s">
        <v>115</v>
      </c>
      <c r="C20" s="105" t="str">
        <f>VLOOKUP(Table25755252691013434446474849565758596315181719224566677172737476777879939495100104[[#This Row],[PEG]],Table1016[#All],2,FALSE)</f>
        <v>0110-1.wav Which would you like? You can say... reservations, payments &amp; statements, title &amp; ownership changes, or more options.</v>
      </c>
      <c r="D20" s="113">
        <v>110</v>
      </c>
      <c r="E20" s="122" t="str">
        <f>VLOOKUP(Table25755252691013434446474849565758596315181719224566677172737476777879939495100104[[#This Row],[PEG]],Table1016[#All],3,FALSE)</f>
        <v>MENU PROMPT</v>
      </c>
    </row>
    <row r="21" spans="1:5">
      <c r="A21" s="114">
        <v>14</v>
      </c>
      <c r="B21" s="110" t="s">
        <v>12</v>
      </c>
      <c r="C21" s="151" t="s">
        <v>565</v>
      </c>
      <c r="D21" s="113"/>
      <c r="E21" s="122" t="e">
        <f>VLOOKUP(Table25755252691013434446474849565758596315181719224566677172737476777879939495100104[[#This Row],[PEG]],Table1016[#All],3,FALSE)</f>
        <v>#N/A</v>
      </c>
    </row>
    <row r="22" spans="1:5" ht="30">
      <c r="A22" s="114">
        <v>15</v>
      </c>
      <c r="B22" s="110" t="s">
        <v>115</v>
      </c>
      <c r="C22" s="105" t="str">
        <f>VLOOKUP(Table25755252691013434446474849565758596315181719224566677172737476777879939495100104[[#This Row],[PEG]],Table1016[#All],2,FALSE)</f>
        <v>400.wav You can say make a payment, check account status, request a document, or more options. Which would you like?</v>
      </c>
      <c r="D22" s="113">
        <v>400</v>
      </c>
      <c r="E22" s="122" t="str">
        <f>VLOOKUP(Table25755252691013434446474849565758596315181719224566677172737476777879939495100104[[#This Row],[PEG]],Table1016[#All],3,FALSE)</f>
        <v>MENU PROMPT</v>
      </c>
    </row>
    <row r="23" spans="1:5">
      <c r="A23" s="114">
        <v>16</v>
      </c>
      <c r="B23" s="110" t="s">
        <v>124</v>
      </c>
      <c r="C23" s="151" t="s">
        <v>502</v>
      </c>
      <c r="D23" s="113"/>
      <c r="E23" s="122" t="e">
        <f>VLOOKUP(Table25755252691013434446474849565758596315181719224566677172737476777879939495100104[[#This Row],[PEG]],Table1016[#All],3,FALSE)</f>
        <v>#N/A</v>
      </c>
    </row>
    <row r="24" spans="1:5" ht="30">
      <c r="A24" s="114">
        <v>17</v>
      </c>
      <c r="B24" s="110" t="s">
        <v>115</v>
      </c>
      <c r="C24" s="105" t="str">
        <f>VLOOKUP(Table25755252691013434446474849565758596315181719224566677172737476777879939495100104[[#This Row],[PEG]],Table1016[#All],2,FALSE)</f>
        <v>405.wav You can say Perks by Club Wyndham, mailing address, wire transfer information, down payment questions, or speak to a representative. Which would you like?</v>
      </c>
      <c r="D24" s="113">
        <v>405</v>
      </c>
      <c r="E24" s="122" t="str">
        <f>VLOOKUP(Table25755252691013434446474849565758596315181719224566677172737476777879939495100104[[#This Row],[PEG]],Table1016[#All],3,FALSE)</f>
        <v>MENU PROMPT</v>
      </c>
    </row>
    <row r="25" spans="1:5">
      <c r="A25" s="114">
        <v>18</v>
      </c>
      <c r="B25" s="110" t="s">
        <v>124</v>
      </c>
      <c r="C25" s="151" t="s">
        <v>601</v>
      </c>
      <c r="D25" s="113"/>
      <c r="E25" s="122" t="e">
        <f>VLOOKUP(Table25755252691013434446474849565758596315181719224566677172737476777879939495100104[[#This Row],[PEG]],Table1016[#All],3,FALSE)</f>
        <v>#N/A</v>
      </c>
    </row>
    <row r="26" spans="1:5" ht="60">
      <c r="A26" s="114">
        <v>19</v>
      </c>
      <c r="B26" s="110" t="s">
        <v>115</v>
      </c>
      <c r="C26" s="105" t="str">
        <f>VLOOKUP(Table25755252691013434446474849565758596315181719224566677172737476777879939495100104[[#This Row],[PEG]],Table1016[#All],2,FALSE)</f>
        <v xml:space="preserve">0416.wav Payments are only accepted in USD. Payments made in CAD must be made using a check or credit card. Payment must include $25.00 wire transfer fee. Beneficiary Bank: JP Morgan Chase Bank Beneficiary Name: SVC-West, LP Beneficiary Account: 689212223 Routing Number: 021000021 Swift Code: CHASCATT Address: 5401 N Pima Rd Ste 150, Scottsdale, AZ 85250 [repeats] </v>
      </c>
      <c r="D26" s="113">
        <v>416</v>
      </c>
      <c r="E26" s="122" t="str">
        <f>VLOOKUP(Table25755252691013434446474849565758596315181719224566677172737476777879939495100104[[#This Row],[PEG]],Table1016[#All],3,FALSE)</f>
        <v>PLAY PROMPT</v>
      </c>
    </row>
    <row r="27" spans="1:5" ht="30">
      <c r="A27" s="114">
        <v>20</v>
      </c>
      <c r="B27" s="110" t="s">
        <v>115</v>
      </c>
      <c r="C27" s="105" t="str">
        <f>VLOOKUP(Table25755252691013434446474849565758596315181719224566677172737476777879939495100104[[#This Row],[PEG]],Table1016[#All],2,FALSE)</f>
        <v>0920.wav I've processed your request. Is there anything else I can help you with today? You can say main menu or simply hang up.</v>
      </c>
      <c r="D27" s="113">
        <v>920</v>
      </c>
      <c r="E27" s="122" t="str">
        <f>VLOOKUP(Table25755252691013434446474849565758596315181719224566677172737476777879939495100104[[#This Row],[PEG]],Table1016[#All],3,FALSE)</f>
        <v>MENU PROMPT</v>
      </c>
    </row>
    <row r="28" spans="1:5">
      <c r="A28" s="114">
        <v>21</v>
      </c>
      <c r="B28" s="110" t="s">
        <v>13</v>
      </c>
      <c r="C28" s="17" t="s">
        <v>13</v>
      </c>
      <c r="D28" s="111"/>
      <c r="E28" s="31"/>
    </row>
  </sheetData>
  <mergeCells count="1">
    <mergeCell ref="A1:B1"/>
  </mergeCells>
  <conditionalFormatting sqref="B8:B18">
    <cfRule type="containsText" dxfId="4762" priority="1" operator="containsText" text="Hear">
      <formula>NOT(ISERROR(SEARCH("Hear",B8)))</formula>
    </cfRule>
  </conditionalFormatting>
  <conditionalFormatting sqref="B19:B28">
    <cfRule type="containsText" dxfId="4761" priority="7" operator="containsText" text="Hear">
      <formula>NOT(ISERROR(SEARCH("Hear",B19)))</formula>
    </cfRule>
  </conditionalFormatting>
  <conditionalFormatting sqref="E28">
    <cfRule type="containsText" dxfId="4760" priority="5" operator="containsText" text="WEB SERVICE">
      <formula>NOT(ISERROR(SEARCH("WEB SERVICE",E28)))</formula>
    </cfRule>
    <cfRule type="containsText" dxfId="4759" priority="6" operator="containsText" text="DB">
      <formula>NOT(ISERROR(SEARCH("DB",E28)))</formula>
    </cfRule>
  </conditionalFormatting>
  <conditionalFormatting sqref="C28">
    <cfRule type="expression" dxfId="4758" priority="10">
      <formula>$B28="HANGUP"</formula>
    </cfRule>
  </conditionalFormatting>
  <hyperlinks>
    <hyperlink ref="A1" location="'Test Case Overview'!A1" display="Return to Test Case Overview" xr:uid="{00000000-0004-0000-3B00-000000000000}"/>
  </hyperlink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1" id="{90384B5F-1A0A-49B8-A023-82EDB2924FDA}">
            <xm:f>'TC1'!$B8="HANGUP"</xm:f>
            <x14:dxf>
              <font>
                <b/>
                <i val="0"/>
              </font>
            </x14:dxf>
          </x14:cfRule>
          <x14:cfRule type="expression" priority="12" id="{65694942-E47F-475F-BDA7-C87DF265D1B9}">
            <xm:f>'TC1'!$B8="Dial"</xm:f>
            <x14:dxf>
              <font>
                <b/>
                <i val="0"/>
                <color rgb="FFFF0000"/>
              </font>
            </x14:dxf>
          </x14:cfRule>
          <xm:sqref>C8</xm:sqref>
        </x14:conditionalFormatting>
        <x14:conditionalFormatting xmlns:xm="http://schemas.microsoft.com/office/excel/2006/main">
          <x14:cfRule type="expression" priority="13" id="{FE374AF5-352D-435E-B91D-1E895D29B0E6}">
            <xm:f>'TC1'!$B8="Speak"</xm:f>
            <x14:dxf>
              <font>
                <b/>
                <i val="0"/>
                <color rgb="FFFF0000"/>
              </font>
            </x14:dxf>
          </x14:cfRule>
          <xm:sqref>C8</xm:sqref>
        </x14:conditionalFormatting>
        <x14:conditionalFormatting xmlns:xm="http://schemas.microsoft.com/office/excel/2006/main">
          <x14:cfRule type="containsText" priority="9" operator="containsText" text="DB" id="{5EA0A7DA-74F7-452F-8C95-EFD9BD909EDB}">
            <xm:f>NOT(ISERROR(SEARCH("DB",'TC1'!E10)))</xm:f>
            <x14:dxf>
              <font>
                <color rgb="FF006100"/>
              </font>
              <fill>
                <patternFill>
                  <bgColor rgb="FFC6EFCE"/>
                </patternFill>
              </fill>
            </x14:dxf>
          </x14:cfRule>
          <x14:cfRule type="containsText" priority="14" operator="containsText" text="WEB SERVICE" id="{14497217-0739-47E5-AFFB-B4C24ACFF00B}">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448" id="{90384B5F-1A0A-49B8-A023-82EDB2924FDA}">
            <xm:f>'TC1'!#REF!="HANGUP"</xm:f>
            <x14:dxf>
              <font>
                <b/>
                <i val="0"/>
              </font>
            </x14:dxf>
          </x14:cfRule>
          <x14:cfRule type="expression" priority="1449" id="{65694942-E47F-475F-BDA7-C87DF265D1B9}">
            <xm:f>'TC1'!#REF!="Dial"</xm:f>
            <x14:dxf>
              <font>
                <b/>
                <i val="0"/>
                <color rgb="FFFF0000"/>
              </font>
            </x14:dxf>
          </x14:cfRule>
          <xm:sqref>C13:C27</xm:sqref>
        </x14:conditionalFormatting>
        <x14:conditionalFormatting xmlns:xm="http://schemas.microsoft.com/office/excel/2006/main">
          <x14:cfRule type="expression" priority="1454" id="{FE374AF5-352D-435E-B91D-1E895D29B0E6}">
            <xm:f>'TC1'!#REF!="Speak"</xm:f>
            <x14:dxf>
              <font>
                <b/>
                <i val="0"/>
                <color rgb="FFFF0000"/>
              </font>
            </x14:dxf>
          </x14:cfRule>
          <xm:sqref>C13:C27</xm:sqref>
        </x14:conditionalFormatting>
        <x14:conditionalFormatting xmlns:xm="http://schemas.microsoft.com/office/excel/2006/main">
          <x14:cfRule type="containsText" priority="1460" operator="containsText" text="DB" id="{5EA0A7DA-74F7-452F-8C95-EFD9BD909EDB}">
            <xm:f>NOT(ISERROR(SEARCH("DB",'TC1'!#REF!)))</xm:f>
            <x14:dxf>
              <font>
                <color rgb="FF006100"/>
              </font>
              <fill>
                <patternFill>
                  <bgColor rgb="FFC6EFCE"/>
                </patternFill>
              </fill>
            </x14:dxf>
          </x14:cfRule>
          <x14:cfRule type="containsText" priority="1461" operator="containsText" text="WEB SERVICE" id="{14497217-0739-47E5-AFFB-B4C24ACFF00B}">
            <xm:f>NOT(ISERROR(SEARCH("WEB SERVICE",'TC1'!#REF!)))</xm:f>
            <x14:dxf>
              <font>
                <color rgb="FF9C0006"/>
              </font>
              <fill>
                <patternFill>
                  <bgColor rgb="FFFFC7CE"/>
                </patternFill>
              </fill>
            </x14:dxf>
          </x14:cfRule>
          <xm:sqref>E13:E27</xm:sqref>
        </x14:conditionalFormatting>
        <x14:conditionalFormatting xmlns:xm="http://schemas.microsoft.com/office/excel/2006/main">
          <x14:cfRule type="expression" priority="3830" id="{90384B5F-1A0A-49B8-A023-82EDB2924FDA}">
            <xm:f>'TC1'!$B10="HANGUP"</xm:f>
            <x14:dxf>
              <font>
                <b/>
                <i val="0"/>
              </font>
            </x14:dxf>
          </x14:cfRule>
          <x14:cfRule type="expression" priority="3831" id="{65694942-E47F-475F-BDA7-C87DF265D1B9}">
            <xm:f>'TC1'!$B10="Dial"</xm:f>
            <x14:dxf>
              <font>
                <b/>
                <i val="0"/>
                <color rgb="FFFF0000"/>
              </font>
            </x14:dxf>
          </x14:cfRule>
          <xm:sqref>C9:C12</xm:sqref>
        </x14:conditionalFormatting>
        <x14:conditionalFormatting xmlns:xm="http://schemas.microsoft.com/office/excel/2006/main">
          <x14:cfRule type="expression" priority="3833" id="{FE374AF5-352D-435E-B91D-1E895D29B0E6}">
            <xm:f>'TC1'!$B10="Speak"</xm:f>
            <x14:dxf>
              <font>
                <b/>
                <i val="0"/>
                <color rgb="FFFF0000"/>
              </font>
            </x14:dxf>
          </x14:cfRule>
          <xm:sqref>C9:C12</xm:sqref>
        </x14:conditionalFormatting>
      </x14:conditionalFormatting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2"/>
  <dimension ref="A1:E16"/>
  <sheetViews>
    <sheetView zoomScaleNormal="100" workbookViewId="0">
      <selection activeCell="C27" sqref="C27"/>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TC60</v>
      </c>
      <c r="C2" s="94"/>
      <c r="D2" s="107"/>
      <c r="E2" s="93"/>
    </row>
    <row r="3" spans="1:5">
      <c r="A3" s="100" t="s">
        <v>19</v>
      </c>
      <c r="B3" s="108">
        <f ca="1">VLOOKUP(B2,Table1[#All],2,FALSE)</f>
        <v>0</v>
      </c>
      <c r="C3" s="94"/>
      <c r="D3" s="107"/>
      <c r="E3" s="93"/>
    </row>
    <row r="4" spans="1:5" ht="30">
      <c r="A4" s="109" t="s">
        <v>20</v>
      </c>
      <c r="B4" s="95" t="str">
        <f ca="1">VLOOKUP(B2,Table1[#All],4,FALSE)</f>
        <v>SvcArea =Collections, OFS05 returns success, not past due</v>
      </c>
      <c r="C4" s="94"/>
      <c r="D4" s="107"/>
      <c r="E4" s="93"/>
    </row>
    <row r="5" spans="1:5">
      <c r="A5" s="100" t="s">
        <v>6</v>
      </c>
      <c r="B5" s="89" t="str">
        <f ca="1">VLOOKUP(B2,Table1[#All],3,FALSE)</f>
        <v>Coll Inbd/ /ID Auth/ID Auth True, hear MM</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24" t="s">
        <v>475</v>
      </c>
      <c r="D8" s="125"/>
      <c r="E8" s="122" t="s">
        <v>11</v>
      </c>
    </row>
    <row r="9" spans="1:5">
      <c r="A9" s="114">
        <v>2</v>
      </c>
      <c r="B9" s="110" t="s">
        <v>115</v>
      </c>
      <c r="C9" s="105" t="str">
        <f>VLOOKUP(Table25755252691013434446474849565758596315181719224566677172737476777879939495100104107[[#This Row],[PEG]],Table1016[#All],2,FALSE)</f>
        <v>CallID.wav Call ID &lt;CallID&gt;</v>
      </c>
      <c r="D9" s="149" t="s">
        <v>477</v>
      </c>
      <c r="E9" s="122" t="str">
        <f>VLOOKUP(Table25755252691013434446474849565758596315181719224566677172737476777879939495100104107[[#This Row],[PEG]],Table1016[#All],3,FALSE)</f>
        <v>TEST</v>
      </c>
    </row>
    <row r="10" spans="1:5">
      <c r="A10" s="114">
        <v>3</v>
      </c>
      <c r="B10" s="110" t="s">
        <v>115</v>
      </c>
      <c r="C10" s="105" t="str">
        <f>VLOOKUP(Table25755252691013434446474849565758596315181719224566677172737476777879939495100104107[[#This Row],[PEG]],Table1016[#All],2,FALSE)</f>
        <v>0130.wav Thank you for calling &lt;brand&gt;... [To continue in Spanish, press 9]</v>
      </c>
      <c r="D10" s="149">
        <v>130</v>
      </c>
      <c r="E10" s="122" t="str">
        <f>VLOOKUP(Table25755252691013434446474849565758596315181719224566677172737476777879939495100104107[[#This Row],[PEG]],Table1016[#All],3,FALSE)</f>
        <v>PLAY PROMPT</v>
      </c>
    </row>
    <row r="11" spans="1:5">
      <c r="A11" s="114">
        <v>4</v>
      </c>
      <c r="B11" s="110" t="s">
        <v>115</v>
      </c>
      <c r="C11" s="105" t="str">
        <f>VLOOKUP(Table25755252691013434446474849565758596315181719224566677172737476777879939495100104107[[#This Row],[PEG]],Table1016[#All],2,FALSE)</f>
        <v>0200-1.wav To get started, what is your account number?</v>
      </c>
      <c r="D11" s="149">
        <v>200</v>
      </c>
      <c r="E11" s="122" t="str">
        <f>VLOOKUP(Table25755252691013434446474849565758596315181719224566677172737476777879939495100104107[[#This Row],[PEG]],Table1016[#All],3,FALSE)</f>
        <v>MENU PROMPT</v>
      </c>
    </row>
    <row r="12" spans="1:5">
      <c r="A12" s="114">
        <v>5</v>
      </c>
      <c r="B12" s="110" t="s">
        <v>114</v>
      </c>
      <c r="C12" s="151" t="s">
        <v>515</v>
      </c>
      <c r="D12" s="149"/>
      <c r="E12" s="122" t="e">
        <f>VLOOKUP(Table25755252691013434446474849565758596315181719224566677172737476777879939495100104107[[#This Row],[PEG]],Table1016[#All],3,FALSE)</f>
        <v>#N/A</v>
      </c>
    </row>
    <row r="13" spans="1:5">
      <c r="A13" s="114">
        <v>6</v>
      </c>
      <c r="B13" s="110" t="s">
        <v>115</v>
      </c>
      <c r="C13" s="105" t="str">
        <f>VLOOKUP(Table25755252691013434446474849565758596315181719224566677172737476777879939495100104107[[#This Row],[PEG]],Table1016[#All],2,FALSE)</f>
        <v>0210-1.wav And the date of birth for the primary owner?</v>
      </c>
      <c r="D13" s="149">
        <v>210</v>
      </c>
      <c r="E13" s="122" t="str">
        <f>VLOOKUP(Table25755252691013434446474849565758596315181719224566677172737476777879939495100104107[[#This Row],[PEG]],Table1016[#All],3,FALSE)</f>
        <v>MENU PROMPT</v>
      </c>
    </row>
    <row r="14" spans="1:5">
      <c r="A14" s="114">
        <v>7</v>
      </c>
      <c r="B14" s="110" t="s">
        <v>124</v>
      </c>
      <c r="C14" s="151" t="s">
        <v>524</v>
      </c>
      <c r="D14" s="149"/>
      <c r="E14" s="122" t="e">
        <f>VLOOKUP(Table25755252691013434446474849565758596315181719224566677172737476777879939495100104107[[#This Row],[PEG]],Table1016[#All],3,FALSE)</f>
        <v>#N/A</v>
      </c>
    </row>
    <row r="15" spans="1:5" ht="30">
      <c r="A15" s="114">
        <v>8</v>
      </c>
      <c r="B15" s="110" t="s">
        <v>115</v>
      </c>
      <c r="C15" s="105" t="str">
        <f>VLOOKUP(Table25755252691013434446474849565758596315181719224566677172737476777879939495100104107[[#This Row],[PEG]],Table1016[#All],2,FALSE)</f>
        <v>0110-1.wav Which would you like? You can say... reservations, payments &amp; statements, title &amp; ownership changes, or more options.</v>
      </c>
      <c r="D15" s="112">
        <v>110</v>
      </c>
      <c r="E15" s="122" t="str">
        <f>VLOOKUP(Table25755252691013434446474849565758596315181719224566677172737476777879939495100104107[[#This Row],[PEG]],Table1016[#All],3,FALSE)</f>
        <v>MENU PROMPT</v>
      </c>
    </row>
    <row r="16" spans="1:5">
      <c r="A16" s="114">
        <v>9</v>
      </c>
      <c r="B16" s="110" t="s">
        <v>13</v>
      </c>
      <c r="C16" s="17" t="s">
        <v>13</v>
      </c>
      <c r="D16" s="111"/>
      <c r="E16" s="31"/>
    </row>
  </sheetData>
  <mergeCells count="1">
    <mergeCell ref="A1:B1"/>
  </mergeCells>
  <conditionalFormatting sqref="B8 B15">
    <cfRule type="containsText" dxfId="4735" priority="10" operator="containsText" text="Hear">
      <formula>NOT(ISERROR(SEARCH("Hear",B8)))</formula>
    </cfRule>
  </conditionalFormatting>
  <conditionalFormatting sqref="B16">
    <cfRule type="containsText" dxfId="4734" priority="16" operator="containsText" text="Hear">
      <formula>NOT(ISERROR(SEARCH("Hear",B16)))</formula>
    </cfRule>
  </conditionalFormatting>
  <conditionalFormatting sqref="E16">
    <cfRule type="containsText" dxfId="4733" priority="14" operator="containsText" text="WEB SERVICE">
      <formula>NOT(ISERROR(SEARCH("WEB SERVICE",E16)))</formula>
    </cfRule>
    <cfRule type="containsText" dxfId="4732" priority="15" operator="containsText" text="DB">
      <formula>NOT(ISERROR(SEARCH("DB",E16)))</formula>
    </cfRule>
  </conditionalFormatting>
  <conditionalFormatting sqref="C16">
    <cfRule type="expression" dxfId="4731" priority="17">
      <formula>$B16="Dial"</formula>
    </cfRule>
    <cfRule type="expression" dxfId="4730" priority="19">
      <formula>$B16="HANGUP"</formula>
    </cfRule>
  </conditionalFormatting>
  <conditionalFormatting sqref="C16">
    <cfRule type="expression" dxfId="4729" priority="11">
      <formula>$B16="Speak"</formula>
    </cfRule>
  </conditionalFormatting>
  <conditionalFormatting sqref="B9:B14">
    <cfRule type="containsText" dxfId="4728" priority="9" operator="containsText" text="Hear">
      <formula>NOT(ISERROR(SEARCH("Hear",B9)))</formula>
    </cfRule>
  </conditionalFormatting>
  <conditionalFormatting sqref="C8">
    <cfRule type="expression" dxfId="4727" priority="7">
      <formula>$B8="Dial"</formula>
    </cfRule>
    <cfRule type="expression" dxfId="4726" priority="8">
      <formula>$B8="HANGUP"</formula>
    </cfRule>
  </conditionalFormatting>
  <hyperlinks>
    <hyperlink ref="A1" location="'Test Case Overview'!A1" display="Return to Test Case Overview" xr:uid="{00000000-0004-0000-3C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18" operator="containsText" text="DB" id="{973045A0-FC93-4BD7-BE54-299AA4B6296E}">
            <xm:f>NOT(ISERROR(SEARCH("DB",'TC1'!E10)))</xm:f>
            <x14:dxf>
              <font>
                <color rgb="FF006100"/>
              </font>
              <fill>
                <patternFill>
                  <bgColor rgb="FFC6EFCE"/>
                </patternFill>
              </fill>
            </x14:dxf>
          </x14:cfRule>
          <x14:cfRule type="containsText" priority="23" operator="containsText" text="WEB SERVICE" id="{CE509102-1B87-4BFB-851F-C311846C2067}">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477" id="{B5AB2401-BD04-4995-A9A8-B80CC02FD658}">
            <xm:f>'TC1'!#REF!="HANGUP"</xm:f>
            <x14:dxf>
              <font>
                <b/>
                <i val="0"/>
              </font>
            </x14:dxf>
          </x14:cfRule>
          <x14:cfRule type="expression" priority="1478" id="{C651843E-854F-4E91-8AC9-025542BBA520}">
            <xm:f>'TC1'!#REF!="Dial"</xm:f>
            <x14:dxf>
              <font>
                <b/>
                <i val="0"/>
                <color rgb="FFFF0000"/>
              </font>
            </x14:dxf>
          </x14:cfRule>
          <xm:sqref>C13 C15</xm:sqref>
        </x14:conditionalFormatting>
        <x14:conditionalFormatting xmlns:xm="http://schemas.microsoft.com/office/excel/2006/main">
          <x14:cfRule type="expression" priority="1483" id="{4F4C2073-C3AD-4F1C-A579-62812592EA55}">
            <xm:f>'TC1'!#REF!="Speak"</xm:f>
            <x14:dxf>
              <font>
                <b/>
                <i val="0"/>
                <color rgb="FFFF0000"/>
              </font>
            </x14:dxf>
          </x14:cfRule>
          <xm:sqref>C13 C15</xm:sqref>
        </x14:conditionalFormatting>
        <x14:conditionalFormatting xmlns:xm="http://schemas.microsoft.com/office/excel/2006/main">
          <x14:cfRule type="containsText" priority="1489" operator="containsText" text="DB" id="{973045A0-FC93-4BD7-BE54-299AA4B6296E}">
            <xm:f>NOT(ISERROR(SEARCH("DB",'TC1'!#REF!)))</xm:f>
            <x14:dxf>
              <font>
                <color rgb="FF006100"/>
              </font>
              <fill>
                <patternFill>
                  <bgColor rgb="FFC6EFCE"/>
                </patternFill>
              </fill>
            </x14:dxf>
          </x14:cfRule>
          <x14:cfRule type="containsText" priority="1490" operator="containsText" text="WEB SERVICE" id="{CE509102-1B87-4BFB-851F-C311846C2067}">
            <xm:f>NOT(ISERROR(SEARCH("WEB SERVICE",'TC1'!#REF!)))</xm:f>
            <x14:dxf>
              <font>
                <color rgb="FF9C0006"/>
              </font>
              <fill>
                <patternFill>
                  <bgColor rgb="FFFFC7CE"/>
                </patternFill>
              </fill>
            </x14:dxf>
          </x14:cfRule>
          <xm:sqref>E13:E15</xm:sqref>
        </x14:conditionalFormatting>
        <x14:conditionalFormatting xmlns:xm="http://schemas.microsoft.com/office/excel/2006/main">
          <x14:cfRule type="expression" priority="3847" id="{B5AB2401-BD04-4995-A9A8-B80CC02FD658}">
            <xm:f>'TC1'!$B10="HANGUP"</xm:f>
            <x14:dxf>
              <font>
                <b/>
                <i val="0"/>
              </font>
            </x14:dxf>
          </x14:cfRule>
          <x14:cfRule type="expression" priority="3848" id="{C651843E-854F-4E91-8AC9-025542BBA520}">
            <xm:f>'TC1'!$B10="Dial"</xm:f>
            <x14:dxf>
              <font>
                <b/>
                <i val="0"/>
                <color rgb="FFFF0000"/>
              </font>
            </x14:dxf>
          </x14:cfRule>
          <xm:sqref>C9:C11</xm:sqref>
        </x14:conditionalFormatting>
        <x14:conditionalFormatting xmlns:xm="http://schemas.microsoft.com/office/excel/2006/main">
          <x14:cfRule type="expression" priority="3850" id="{4F4C2073-C3AD-4F1C-A579-62812592EA55}">
            <xm:f>'TC1'!$B10="Speak"</xm:f>
            <x14:dxf>
              <font>
                <b/>
                <i val="0"/>
                <color rgb="FFFF0000"/>
              </font>
            </x14:dxf>
          </x14:cfRule>
          <xm:sqref>C9:C11</xm:sqref>
        </x14:conditionalFormatting>
        <x14:conditionalFormatting xmlns:xm="http://schemas.microsoft.com/office/excel/2006/main">
          <x14:cfRule type="expression" priority="4" id="{5B69F358-93E6-4447-8DF5-96DB9AD3541B}">
            <xm:f>'\Users\deannah\Wyndham Testing\[Wyndham Destinations_TestCaseOverview_V3_Template.xlsx]TC1'!#REF!="HANGUP"</xm:f>
            <x14:dxf>
              <font>
                <b/>
                <i val="0"/>
              </font>
            </x14:dxf>
          </x14:cfRule>
          <x14:cfRule type="expression" priority="5" id="{ACAD8CBF-0998-43FC-9654-59DDB0635898}">
            <xm:f>'\Users\deannah\Wyndham Testing\[Wyndham Destinations_TestCaseOverview_V3_Template.xlsx]TC1'!#REF!="Dial"</xm:f>
            <x14:dxf>
              <font>
                <b/>
                <i val="0"/>
                <color rgb="FFFF0000"/>
              </font>
            </x14:dxf>
          </x14:cfRule>
          <xm:sqref>C12</xm:sqref>
        </x14:conditionalFormatting>
        <x14:conditionalFormatting xmlns:xm="http://schemas.microsoft.com/office/excel/2006/main">
          <x14:cfRule type="expression" priority="6" id="{65836876-4CC7-4F3E-9569-DD00481C9A9C}">
            <xm:f>'\Users\deannah\Wyndham Testing\[Wyndham Destinations_TestCaseOverview_V3_Template.xlsx]TC1'!#REF!="Speak"</xm:f>
            <x14:dxf>
              <font>
                <b/>
                <i val="0"/>
                <color rgb="FFFF0000"/>
              </font>
            </x14:dxf>
          </x14:cfRule>
          <xm:sqref>C12</xm:sqref>
        </x14:conditionalFormatting>
        <x14:conditionalFormatting xmlns:xm="http://schemas.microsoft.com/office/excel/2006/main">
          <x14:cfRule type="expression" priority="1" id="{395C63DC-A185-480A-AFDA-BD9E762EDBA7}">
            <xm:f>'\Users\deannah\Wyndham Testing\[Wyndham Destinations_TestCaseOverview_V3_Template.xlsx]TC1'!#REF!="HANGUP"</xm:f>
            <x14:dxf>
              <font>
                <b/>
                <i val="0"/>
              </font>
            </x14:dxf>
          </x14:cfRule>
          <x14:cfRule type="expression" priority="2" id="{B6670E48-2C0D-4698-B664-E19582306B59}">
            <xm:f>'\Users\deannah\Wyndham Testing\[Wyndham Destinations_TestCaseOverview_V3_Template.xlsx]TC1'!#REF!="Dial"</xm:f>
            <x14:dxf>
              <font>
                <b/>
                <i val="0"/>
                <color rgb="FFFF0000"/>
              </font>
            </x14:dxf>
          </x14:cfRule>
          <xm:sqref>C14</xm:sqref>
        </x14:conditionalFormatting>
        <x14:conditionalFormatting xmlns:xm="http://schemas.microsoft.com/office/excel/2006/main">
          <x14:cfRule type="expression" priority="3" id="{28E07CE3-B287-4CF8-BB97-C5D815577CDA}">
            <xm:f>'\Users\deannah\Wyndham Testing\[Wyndham Destinations_TestCaseOverview_V3_Template.xlsx]TC1'!#REF!="Speak"</xm:f>
            <x14:dxf>
              <font>
                <b/>
                <i val="0"/>
                <color rgb="FFFF0000"/>
              </font>
            </x14:dxf>
          </x14:cfRule>
          <xm:sqref>C14</xm:sqref>
        </x14:conditionalFormatting>
      </x14:conditionalFormatting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3"/>
  <dimension ref="A1:E21"/>
  <sheetViews>
    <sheetView zoomScaleNormal="100" workbookViewId="0">
      <selection activeCell="C25" sqref="C25"/>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TC61</v>
      </c>
      <c r="C2" s="94"/>
      <c r="D2" s="107"/>
      <c r="E2" s="93"/>
    </row>
    <row r="3" spans="1:5">
      <c r="A3" s="100" t="s">
        <v>19</v>
      </c>
      <c r="B3" s="108">
        <f ca="1">VLOOKUP(B2,Table1[#All],2,FALSE)</f>
        <v>0</v>
      </c>
      <c r="C3" s="94"/>
      <c r="D3" s="107"/>
      <c r="E3" s="93"/>
    </row>
    <row r="4" spans="1:5" ht="45">
      <c r="A4" s="109" t="s">
        <v>20</v>
      </c>
      <c r="B4" s="95" t="str">
        <f ca="1">VLOOKUP(B2,Table1[#All],4,FALSE)</f>
        <v>svcArea=titleSvcs, serviceType=chgOwnership, Not in progress or complete &lt;90days. Non-Deeded</v>
      </c>
      <c r="C4" s="94"/>
      <c r="D4" s="107"/>
      <c r="E4" s="93"/>
    </row>
    <row r="5" spans="1:5" ht="30">
      <c r="A5" s="100" t="s">
        <v>6</v>
      </c>
      <c r="B5" s="89" t="str">
        <f ca="1">VLOOKUP(B2,Table1[#All],3,FALSE)</f>
        <v>CallStart Main Menu /Title /Ownership changes/ID Auth=True/ Rep at ChangeMenu</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VLOOKUP(Table25755252691013434446474849565758596315181719224566677172737476777879939495100104109[[#This Row],[PEG]],Table1016[#All],2,FALSE)</f>
        <v>CallID.wav Call ID &lt;CallID&gt;</v>
      </c>
      <c r="D9" s="149" t="s">
        <v>477</v>
      </c>
      <c r="E9" s="122" t="str">
        <f>VLOOKUP(Table25755252691013434446474849565758596315181719224566677172737476777879939495100104109[[#This Row],[PEG]],Table1016[#All],3,FALSE)</f>
        <v>TEST</v>
      </c>
    </row>
    <row r="10" spans="1:5" ht="30">
      <c r="A10" s="114">
        <v>3</v>
      </c>
      <c r="B10" s="110" t="s">
        <v>115</v>
      </c>
      <c r="C10" s="105" t="str">
        <f>VLOOKUP(Table25755252691013434446474849565758596315181719224566677172737476777879939495100104109[[#This Row],[PEG]],Table1016[#All],2,FALSE)</f>
        <v>0100.wav Thank you for calling Shell vacations Club, we are glad you called. Please have your account number available for faster service. [To continue in Spanish, press 9]</v>
      </c>
      <c r="D10" s="149">
        <v>100</v>
      </c>
      <c r="E10" s="122" t="str">
        <f>VLOOKUP(Table25755252691013434446474849565758596315181719224566677172737476777879939495100104109[[#This Row],[PEG]],Table1016[#All],3,FALSE)</f>
        <v>PLAY PROMPT</v>
      </c>
    </row>
    <row r="11" spans="1:5" ht="30">
      <c r="A11" s="114">
        <v>4</v>
      </c>
      <c r="B11" s="110" t="s">
        <v>115</v>
      </c>
      <c r="C11" s="105" t="str">
        <f>VLOOKUP(Table25755252691013434446474849565758596315181719224566677172737476777879939495100104109[[#This Row],[PEG]],Table1016[#All],2,FALSE)</f>
        <v>0110-1.wav Which would you like? You can say... reservations, payments &amp; statements, title &amp; ownership changes, or more options.</v>
      </c>
      <c r="D11" s="149">
        <v>110</v>
      </c>
      <c r="E11" s="122" t="str">
        <f>VLOOKUP(Table25755252691013434446474849565758596315181719224566677172737476777879939495100104109[[#This Row],[PEG]],Table1016[#All],3,FALSE)</f>
        <v>MENU PROMPT</v>
      </c>
    </row>
    <row r="12" spans="1:5">
      <c r="A12" s="114">
        <v>5</v>
      </c>
      <c r="B12" s="110" t="s">
        <v>124</v>
      </c>
      <c r="C12" s="158" t="s">
        <v>635</v>
      </c>
      <c r="D12" s="149"/>
      <c r="E12" s="122" t="e">
        <f>VLOOKUP(Table25755252691013434446474849565758596315181719224566677172737476777879939495100104109[[#This Row],[PEG]],Table1016[#All],3,FALSE)</f>
        <v>#N/A</v>
      </c>
    </row>
    <row r="13" spans="1:5" ht="30">
      <c r="A13" s="114">
        <v>6</v>
      </c>
      <c r="B13" s="110" t="s">
        <v>115</v>
      </c>
      <c r="C13" s="105" t="str">
        <f>VLOOKUP(Table25755252691013434446474849565758596315181719224566677172737476777879939495100104109[[#This Row],[PEG]],Table1016[#All],2,FALSE)</f>
        <v>0300-1.wav You can say ownership changes, check status, make a payment, or help me with something else. Which would you like?</v>
      </c>
      <c r="D13" s="149">
        <v>300</v>
      </c>
      <c r="E13" s="122" t="str">
        <f>VLOOKUP(Table25755252691013434446474849565758596315181719224566677172737476777879939495100104109[[#This Row],[PEG]],Table1016[#All],3,FALSE)</f>
        <v>MENU PROMPT</v>
      </c>
    </row>
    <row r="14" spans="1:5">
      <c r="A14" s="114">
        <v>7</v>
      </c>
      <c r="B14" s="110" t="s">
        <v>124</v>
      </c>
      <c r="C14" s="151" t="s">
        <v>486</v>
      </c>
      <c r="D14" s="125"/>
      <c r="E14" s="122" t="e">
        <f>VLOOKUP(Table25755252691013434446474849565758596315181719224566677172737476777879939495100104109[[#This Row],[PEG]],Table1016[#All],3,FALSE)</f>
        <v>#N/A</v>
      </c>
    </row>
    <row r="15" spans="1:5">
      <c r="A15" s="114">
        <v>8</v>
      </c>
      <c r="B15" s="110" t="s">
        <v>115</v>
      </c>
      <c r="C15" s="105" t="str">
        <f>VLOOKUP(Table25755252691013434446474849565758596315181719224566677172737476777879939495100104109[[#This Row],[PEG]],Table1016[#All],2,FALSE)</f>
        <v>0200-1.wav To get started, what is your account number?</v>
      </c>
      <c r="D15" s="149">
        <v>200</v>
      </c>
      <c r="E15" s="122" t="str">
        <f>VLOOKUP(Table25755252691013434446474849565758596315181719224566677172737476777879939495100104109[[#This Row],[PEG]],Table1016[#All],3,FALSE)</f>
        <v>MENU PROMPT</v>
      </c>
    </row>
    <row r="16" spans="1:5">
      <c r="A16" s="114">
        <v>9</v>
      </c>
      <c r="B16" s="110" t="s">
        <v>114</v>
      </c>
      <c r="C16" s="151" t="s">
        <v>515</v>
      </c>
      <c r="D16" s="149"/>
      <c r="E16" s="122" t="e">
        <f>VLOOKUP(Table25755252691013434446474849565758596315181719224566677172737476777879939495100104109[[#This Row],[PEG]],Table1016[#All],3,FALSE)</f>
        <v>#N/A</v>
      </c>
    </row>
    <row r="17" spans="1:5">
      <c r="A17" s="114">
        <v>10</v>
      </c>
      <c r="B17" s="110" t="s">
        <v>115</v>
      </c>
      <c r="C17" s="105" t="str">
        <f>VLOOKUP(Table25755252691013434446474849565758596315181719224566677172737476777879939495100104109[[#This Row],[PEG]],Table1016[#All],2,FALSE)</f>
        <v>0210-1.wav And the date of birth for the primary owner?</v>
      </c>
      <c r="D17" s="149">
        <v>210</v>
      </c>
      <c r="E17" s="122" t="str">
        <f>VLOOKUP(Table25755252691013434446474849565758596315181719224566677172737476777879939495100104109[[#This Row],[PEG]],Table1016[#All],3,FALSE)</f>
        <v>MENU PROMPT</v>
      </c>
    </row>
    <row r="18" spans="1:5">
      <c r="A18" s="114">
        <v>11</v>
      </c>
      <c r="B18" s="110" t="s">
        <v>124</v>
      </c>
      <c r="C18" s="151" t="s">
        <v>524</v>
      </c>
      <c r="D18" s="149"/>
      <c r="E18" s="122" t="e">
        <f>VLOOKUP(Table25755252691013434446474849565758596315181719224566677172737476777879939495100104109[[#This Row],[PEG]],Table1016[#All],3,FALSE)</f>
        <v>#N/A</v>
      </c>
    </row>
    <row r="19" spans="1:5" ht="45">
      <c r="A19" s="114">
        <v>12</v>
      </c>
      <c r="B19" s="110" t="s">
        <v>115</v>
      </c>
      <c r="C19" s="105" t="str">
        <f>VLOOKUP(Table25755252691013434446474849565758596315181719224566677172737476777879939495100104109[[#This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13">
        <v>320</v>
      </c>
      <c r="E19" s="122" t="str">
        <f>VLOOKUP(Table25755252691013434446474849565758596315181719224566677172737476777879939495100104109[[#This Row],[PEG]],Table1016[#All],3,FALSE)</f>
        <v>MENU PROMPT</v>
      </c>
    </row>
    <row r="20" spans="1:5">
      <c r="A20" s="114">
        <v>13</v>
      </c>
      <c r="B20" s="110" t="s">
        <v>124</v>
      </c>
      <c r="C20" s="151" t="s">
        <v>473</v>
      </c>
      <c r="D20" s="113"/>
      <c r="E20" s="122" t="e">
        <f>VLOOKUP(Table25755252691013434446474849565758596315181719224566677172737476777879939495100104109[[#This Row],[PEG]],Table1016[#All],3,FALSE)</f>
        <v>#N/A</v>
      </c>
    </row>
    <row r="21" spans="1:5">
      <c r="A21" s="114">
        <v>14</v>
      </c>
      <c r="B21" s="110" t="s">
        <v>13</v>
      </c>
      <c r="C21" s="17" t="s">
        <v>13</v>
      </c>
      <c r="D21" s="111"/>
      <c r="E21" s="31"/>
    </row>
  </sheetData>
  <mergeCells count="1">
    <mergeCell ref="A1:B1"/>
  </mergeCells>
  <conditionalFormatting sqref="B8 B13:B14">
    <cfRule type="containsText" dxfId="4700" priority="9" operator="containsText" text="Hear">
      <formula>NOT(ISERROR(SEARCH("Hear",B8)))</formula>
    </cfRule>
  </conditionalFormatting>
  <conditionalFormatting sqref="B19:B21">
    <cfRule type="containsText" dxfId="4699" priority="15" operator="containsText" text="Hear">
      <formula>NOT(ISERROR(SEARCH("Hear",B19)))</formula>
    </cfRule>
  </conditionalFormatting>
  <conditionalFormatting sqref="E21">
    <cfRule type="containsText" dxfId="4698" priority="13" operator="containsText" text="WEB SERVICE">
      <formula>NOT(ISERROR(SEARCH("WEB SERVICE",E21)))</formula>
    </cfRule>
    <cfRule type="containsText" dxfId="4697" priority="14" operator="containsText" text="DB">
      <formula>NOT(ISERROR(SEARCH("DB",E21)))</formula>
    </cfRule>
  </conditionalFormatting>
  <conditionalFormatting sqref="C21">
    <cfRule type="expression" dxfId="4696" priority="16">
      <formula>$B21="Dial"</formula>
    </cfRule>
    <cfRule type="expression" dxfId="4695" priority="18">
      <formula>$B21="HANGUP"</formula>
    </cfRule>
  </conditionalFormatting>
  <conditionalFormatting sqref="C21">
    <cfRule type="expression" dxfId="4694" priority="10">
      <formula>$B21="Speak"</formula>
    </cfRule>
  </conditionalFormatting>
  <conditionalFormatting sqref="B9:B12">
    <cfRule type="containsText" dxfId="4693" priority="8" operator="containsText" text="Hear">
      <formula>NOT(ISERROR(SEARCH("Hear",B9)))</formula>
    </cfRule>
  </conditionalFormatting>
  <conditionalFormatting sqref="B15:B18">
    <cfRule type="containsText" dxfId="4692" priority="7" operator="containsText" text="Hear">
      <formula>NOT(ISERROR(SEARCH("Hear",B15)))</formula>
    </cfRule>
  </conditionalFormatting>
  <hyperlinks>
    <hyperlink ref="A1" location="'Test Case Overview'!A1" display="Return to Test Case Overview" xr:uid="{00000000-0004-0000-3D00-000000000000}"/>
  </hyperlink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9" id="{0A44A892-06E1-4743-95D2-654CD21BD019}">
            <xm:f>'TC1'!$B8="HANGUP"</xm:f>
            <x14:dxf>
              <font>
                <b/>
                <i val="0"/>
              </font>
            </x14:dxf>
          </x14:cfRule>
          <x14:cfRule type="expression" priority="20" id="{646FFF0A-D402-43B3-BB25-9863F116B4C7}">
            <xm:f>'TC1'!$B8="Dial"</xm:f>
            <x14:dxf>
              <font>
                <b/>
                <i val="0"/>
                <color rgb="FFFF0000"/>
              </font>
            </x14:dxf>
          </x14:cfRule>
          <xm:sqref>C8</xm:sqref>
        </x14:conditionalFormatting>
        <x14:conditionalFormatting xmlns:xm="http://schemas.microsoft.com/office/excel/2006/main">
          <x14:cfRule type="expression" priority="21" id="{0EECE191-332B-4255-9925-6466EBEE3E9C}">
            <xm:f>'TC1'!$B8="Speak"</xm:f>
            <x14:dxf>
              <font>
                <b/>
                <i val="0"/>
                <color rgb="FFFF0000"/>
              </font>
            </x14:dxf>
          </x14:cfRule>
          <xm:sqref>C8</xm:sqref>
        </x14:conditionalFormatting>
        <x14:conditionalFormatting xmlns:xm="http://schemas.microsoft.com/office/excel/2006/main">
          <x14:cfRule type="containsText" priority="17" operator="containsText" text="DB" id="{C2150B14-A0B4-4B5C-B8EF-AD41E761FD9F}">
            <xm:f>NOT(ISERROR(SEARCH("DB",'TC1'!E10)))</xm:f>
            <x14:dxf>
              <font>
                <color rgb="FF006100"/>
              </font>
              <fill>
                <patternFill>
                  <bgColor rgb="FFC6EFCE"/>
                </patternFill>
              </fill>
            </x14:dxf>
          </x14:cfRule>
          <x14:cfRule type="containsText" priority="22" operator="containsText" text="WEB SERVICE" id="{F1DFDE55-BEDA-4707-9854-9AC97909BC25}">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496" id="{0A44A892-06E1-4743-95D2-654CD21BD019}">
            <xm:f>'TC1'!#REF!="HANGUP"</xm:f>
            <x14:dxf>
              <font>
                <b/>
                <i val="0"/>
              </font>
            </x14:dxf>
          </x14:cfRule>
          <x14:cfRule type="expression" priority="1497" id="{646FFF0A-D402-43B3-BB25-9863F116B4C7}">
            <xm:f>'TC1'!#REF!="Dial"</xm:f>
            <x14:dxf>
              <font>
                <b/>
                <i val="0"/>
                <color rgb="FFFF0000"/>
              </font>
            </x14:dxf>
          </x14:cfRule>
          <xm:sqref>C13:C15 C17 C19:C20</xm:sqref>
        </x14:conditionalFormatting>
        <x14:conditionalFormatting xmlns:xm="http://schemas.microsoft.com/office/excel/2006/main">
          <x14:cfRule type="expression" priority="1502" id="{0EECE191-332B-4255-9925-6466EBEE3E9C}">
            <xm:f>'TC1'!#REF!="Speak"</xm:f>
            <x14:dxf>
              <font>
                <b/>
                <i val="0"/>
                <color rgb="FFFF0000"/>
              </font>
            </x14:dxf>
          </x14:cfRule>
          <xm:sqref>C13:C15 C17 C19:C20</xm:sqref>
        </x14:conditionalFormatting>
        <x14:conditionalFormatting xmlns:xm="http://schemas.microsoft.com/office/excel/2006/main">
          <x14:cfRule type="containsText" priority="1508" operator="containsText" text="DB" id="{C2150B14-A0B4-4B5C-B8EF-AD41E761FD9F}">
            <xm:f>NOT(ISERROR(SEARCH("DB",'TC1'!#REF!)))</xm:f>
            <x14:dxf>
              <font>
                <color rgb="FF006100"/>
              </font>
              <fill>
                <patternFill>
                  <bgColor rgb="FFC6EFCE"/>
                </patternFill>
              </fill>
            </x14:dxf>
          </x14:cfRule>
          <x14:cfRule type="containsText" priority="1509" operator="containsText" text="WEB SERVICE" id="{F1DFDE55-BEDA-4707-9854-9AC97909BC25}">
            <xm:f>NOT(ISERROR(SEARCH("WEB SERVICE",'TC1'!#REF!)))</xm:f>
            <x14:dxf>
              <font>
                <color rgb="FF9C0006"/>
              </font>
              <fill>
                <patternFill>
                  <bgColor rgb="FFFFC7CE"/>
                </patternFill>
              </fill>
            </x14:dxf>
          </x14:cfRule>
          <xm:sqref>E13:E20</xm:sqref>
        </x14:conditionalFormatting>
        <x14:conditionalFormatting xmlns:xm="http://schemas.microsoft.com/office/excel/2006/main">
          <x14:cfRule type="expression" priority="3854" id="{0A44A892-06E1-4743-95D2-654CD21BD019}">
            <xm:f>'TC1'!$B10="HANGUP"</xm:f>
            <x14:dxf>
              <font>
                <b/>
                <i val="0"/>
              </font>
            </x14:dxf>
          </x14:cfRule>
          <x14:cfRule type="expression" priority="3855" id="{646FFF0A-D402-43B3-BB25-9863F116B4C7}">
            <xm:f>'TC1'!$B10="Dial"</xm:f>
            <x14:dxf>
              <font>
                <b/>
                <i val="0"/>
                <color rgb="FFFF0000"/>
              </font>
            </x14:dxf>
          </x14:cfRule>
          <xm:sqref>C9:C12</xm:sqref>
        </x14:conditionalFormatting>
        <x14:conditionalFormatting xmlns:xm="http://schemas.microsoft.com/office/excel/2006/main">
          <x14:cfRule type="expression" priority="3857" id="{0EECE191-332B-4255-9925-6466EBEE3E9C}">
            <xm:f>'TC1'!$B10="Speak"</xm:f>
            <x14:dxf>
              <font>
                <b/>
                <i val="0"/>
                <color rgb="FFFF0000"/>
              </font>
            </x14:dxf>
          </x14:cfRule>
          <xm:sqref>C9:C12</xm:sqref>
        </x14:conditionalFormatting>
        <x14:conditionalFormatting xmlns:xm="http://schemas.microsoft.com/office/excel/2006/main">
          <x14:cfRule type="expression" priority="4" id="{047A4C4F-ED7A-4B61-A60E-A36BD55EE0F8}">
            <xm:f>'\Users\deannah\Wyndham Testing\[Wyndham Destinations_TestCaseOverview_V3_Template.xlsx]TC1'!#REF!="HANGUP"</xm:f>
            <x14:dxf>
              <font>
                <b/>
                <i val="0"/>
              </font>
            </x14:dxf>
          </x14:cfRule>
          <x14:cfRule type="expression" priority="5" id="{2CC3C530-9E24-4C43-9A12-7A01C97305AC}">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6" id="{C2955DCF-81D4-4251-B618-C62D419F8299}">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1" id="{290B819F-FD85-4C2C-BDD6-41359A9514D5}">
            <xm:f>'\Users\deannah\Wyndham Testing\[Wyndham Destinations_TestCaseOverview_V3_Template.xlsx]TC1'!#REF!="HANGUP"</xm:f>
            <x14:dxf>
              <font>
                <b/>
                <i val="0"/>
              </font>
            </x14:dxf>
          </x14:cfRule>
          <x14:cfRule type="expression" priority="2" id="{2725B291-8517-446A-9E4A-DA2EAA5A305F}">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3" id="{FAD5A8C2-774D-4B21-BFD6-26DEC78AB543}">
            <xm:f>'\Users\deannah\Wyndham Testing\[Wyndham Destinations_TestCaseOverview_V3_Template.xlsx]TC1'!#REF!="Speak"</xm:f>
            <x14:dxf>
              <font>
                <b/>
                <i val="0"/>
                <color rgb="FFFF0000"/>
              </font>
            </x14:dxf>
          </x14:cfRule>
          <xm:sqref>C18</xm:sqref>
        </x14:conditionalFormatting>
      </x14:conditionalFormatting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4"/>
  <dimension ref="A1:E21"/>
  <sheetViews>
    <sheetView zoomScaleNormal="100" workbookViewId="0">
      <selection activeCell="C25" sqref="C25"/>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TC62</v>
      </c>
      <c r="C2" s="94"/>
      <c r="D2" s="107"/>
      <c r="E2" s="93"/>
    </row>
    <row r="3" spans="1:5">
      <c r="A3" s="100" t="s">
        <v>19</v>
      </c>
      <c r="B3" s="108">
        <f ca="1">VLOOKUP(B2,Table1[#All],2,FALSE)</f>
        <v>0</v>
      </c>
      <c r="C3" s="94"/>
      <c r="D3" s="107"/>
      <c r="E3" s="93"/>
    </row>
    <row r="4" spans="1:5" ht="45">
      <c r="A4" s="109" t="s">
        <v>20</v>
      </c>
      <c r="B4" s="95" t="str">
        <f ca="1">VLOOKUP(B2,Table1[#All],4,FALSE)</f>
        <v>svcArea=titleSvcs, serviceType=chgOwnership, Not in progress or complete &lt;90days. DeedFixedWeek</v>
      </c>
      <c r="C4" s="94"/>
      <c r="D4" s="107"/>
      <c r="E4" s="93"/>
    </row>
    <row r="5" spans="1:5" ht="30">
      <c r="A5" s="100" t="s">
        <v>6</v>
      </c>
      <c r="B5" s="89" t="str">
        <f ca="1">VLOOKUP(B2,Table1[#All],3,FALSE)</f>
        <v>CallStart Main Menu /Title /Ownership changes/ID Auth=True/ Rep at ChangeMenu</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VLOOKUP(Table25755252691013434446474849565758596315181719224566677172737476777879939495100104109111[[#This Row],[PEG]],Table1016[#All],2,FALSE)</f>
        <v>CallID.wav Call ID &lt;CallID&gt;</v>
      </c>
      <c r="D9" s="149" t="s">
        <v>477</v>
      </c>
      <c r="E9" s="122" t="str">
        <f>VLOOKUP(Table25755252691013434446474849565758596315181719224566677172737476777879939495100104109111[[#This Row],[PEG]],Table1016[#All],3,FALSE)</f>
        <v>TEST</v>
      </c>
    </row>
    <row r="10" spans="1:5" ht="30">
      <c r="A10" s="114">
        <v>3</v>
      </c>
      <c r="B10" s="110" t="s">
        <v>115</v>
      </c>
      <c r="C10" s="105" t="str">
        <f>VLOOKUP(Table25755252691013434446474849565758596315181719224566677172737476777879939495100104109111[[#This Row],[PEG]],Table1016[#All],2,FALSE)</f>
        <v>0100.wav Thank you for calling Shell vacations Club, we are glad you called. Please have your account number available for faster service. [To continue in Spanish, press 9]</v>
      </c>
      <c r="D10" s="149">
        <v>100</v>
      </c>
      <c r="E10" s="122" t="str">
        <f>VLOOKUP(Table25755252691013434446474849565758596315181719224566677172737476777879939495100104109111[[#This Row],[PEG]],Table1016[#All],3,FALSE)</f>
        <v>PLAY PROMPT</v>
      </c>
    </row>
    <row r="11" spans="1:5" ht="30">
      <c r="A11" s="114">
        <v>4</v>
      </c>
      <c r="B11" s="110" t="s">
        <v>115</v>
      </c>
      <c r="C11" s="105" t="str">
        <f>VLOOKUP(Table25755252691013434446474849565758596315181719224566677172737476777879939495100104109111[[#This Row],[PEG]],Table1016[#All],2,FALSE)</f>
        <v>0110-1.wav Which would you like? You can say... reservations, payments &amp; statements, title &amp; ownership changes, or more options.</v>
      </c>
      <c r="D11" s="149">
        <v>110</v>
      </c>
      <c r="E11" s="122" t="str">
        <f>VLOOKUP(Table25755252691013434446474849565758596315181719224566677172737476777879939495100104109111[[#This Row],[PEG]],Table1016[#All],3,FALSE)</f>
        <v>MENU PROMPT</v>
      </c>
    </row>
    <row r="12" spans="1:5">
      <c r="A12" s="114">
        <v>5</v>
      </c>
      <c r="B12" s="110" t="s">
        <v>124</v>
      </c>
      <c r="C12" s="158" t="s">
        <v>636</v>
      </c>
      <c r="D12" s="149"/>
      <c r="E12" s="122" t="e">
        <f>VLOOKUP(Table25755252691013434446474849565758596315181719224566677172737476777879939495100104109111[[#This Row],[PEG]],Table1016[#All],3,FALSE)</f>
        <v>#N/A</v>
      </c>
    </row>
    <row r="13" spans="1:5" ht="30">
      <c r="A13" s="114">
        <v>6</v>
      </c>
      <c r="B13" s="110" t="s">
        <v>115</v>
      </c>
      <c r="C13" s="105" t="str">
        <f>VLOOKUP(Table25755252691013434446474849565758596315181719224566677172737476777879939495100104109111[[#This Row],[PEG]],Table1016[#All],2,FALSE)</f>
        <v>0300-1.wav You can say ownership changes, check status, make a payment, or help me with something else. Which would you like?</v>
      </c>
      <c r="D13" s="149">
        <v>300</v>
      </c>
      <c r="E13" s="122" t="str">
        <f>VLOOKUP(Table25755252691013434446474849565758596315181719224566677172737476777879939495100104109111[[#This Row],[PEG]],Table1016[#All],3,FALSE)</f>
        <v>MENU PROMPT</v>
      </c>
    </row>
    <row r="14" spans="1:5">
      <c r="A14" s="114">
        <v>7</v>
      </c>
      <c r="B14" s="110" t="s">
        <v>124</v>
      </c>
      <c r="C14" s="151" t="s">
        <v>486</v>
      </c>
      <c r="D14" s="125"/>
      <c r="E14" s="122" t="e">
        <f>VLOOKUP(Table25755252691013434446474849565758596315181719224566677172737476777879939495100104109111[[#This Row],[PEG]],Table1016[#All],3,FALSE)</f>
        <v>#N/A</v>
      </c>
    </row>
    <row r="15" spans="1:5">
      <c r="A15" s="114">
        <v>8</v>
      </c>
      <c r="B15" s="110" t="s">
        <v>115</v>
      </c>
      <c r="C15" s="105" t="str">
        <f>VLOOKUP(Table25755252691013434446474849565758596315181719224566677172737476777879939495100104109111[[#This Row],[PEG]],Table1016[#All],2,FALSE)</f>
        <v>0200-1.wav To get started, what is your account number?</v>
      </c>
      <c r="D15" s="149">
        <v>200</v>
      </c>
      <c r="E15" s="122" t="str">
        <f>VLOOKUP(Table25755252691013434446474849565758596315181719224566677172737476777879939495100104109111[[#This Row],[PEG]],Table1016[#All],3,FALSE)</f>
        <v>MENU PROMPT</v>
      </c>
    </row>
    <row r="16" spans="1:5">
      <c r="A16" s="114">
        <v>9</v>
      </c>
      <c r="B16" s="110" t="s">
        <v>114</v>
      </c>
      <c r="C16" s="151" t="s">
        <v>515</v>
      </c>
      <c r="D16" s="149"/>
      <c r="E16" s="122" t="e">
        <f>VLOOKUP(Table25755252691013434446474849565758596315181719224566677172737476777879939495100104109111[[#This Row],[PEG]],Table1016[#All],3,FALSE)</f>
        <v>#N/A</v>
      </c>
    </row>
    <row r="17" spans="1:5">
      <c r="A17" s="114">
        <v>10</v>
      </c>
      <c r="B17" s="110" t="s">
        <v>115</v>
      </c>
      <c r="C17" s="105" t="str">
        <f>VLOOKUP(Table25755252691013434446474849565758596315181719224566677172737476777879939495100104109111[[#This Row],[PEG]],Table1016[#All],2,FALSE)</f>
        <v>0210-1.wav And the date of birth for the primary owner?</v>
      </c>
      <c r="D17" s="149">
        <v>210</v>
      </c>
      <c r="E17" s="122" t="str">
        <f>VLOOKUP(Table25755252691013434446474849565758596315181719224566677172737476777879939495100104109111[[#This Row],[PEG]],Table1016[#All],3,FALSE)</f>
        <v>MENU PROMPT</v>
      </c>
    </row>
    <row r="18" spans="1:5">
      <c r="A18" s="114">
        <v>11</v>
      </c>
      <c r="B18" s="110" t="s">
        <v>124</v>
      </c>
      <c r="C18" s="151" t="s">
        <v>524</v>
      </c>
      <c r="D18" s="149"/>
      <c r="E18" s="122" t="e">
        <f>VLOOKUP(Table25755252691013434446474849565758596315181719224566677172737476777879939495100104109111[[#This Row],[PEG]],Table1016[#All],3,FALSE)</f>
        <v>#N/A</v>
      </c>
    </row>
    <row r="19" spans="1:5" ht="45">
      <c r="A19" s="114">
        <v>12</v>
      </c>
      <c r="B19" s="110" t="s">
        <v>115</v>
      </c>
      <c r="C19" s="105" t="str">
        <f>VLOOKUP(Table25755252691013434446474849565758596315181719224566677172737476777879939495100104109111[[#This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13">
        <v>320</v>
      </c>
      <c r="E19" s="122" t="str">
        <f>VLOOKUP(Table25755252691013434446474849565758596315181719224566677172737476777879939495100104109111[[#This Row],[PEG]],Table1016[#All],3,FALSE)</f>
        <v>MENU PROMPT</v>
      </c>
    </row>
    <row r="20" spans="1:5">
      <c r="A20" s="114">
        <v>13</v>
      </c>
      <c r="B20" s="110" t="s">
        <v>124</v>
      </c>
      <c r="C20" s="151" t="s">
        <v>473</v>
      </c>
      <c r="D20" s="113"/>
      <c r="E20" s="122" t="e">
        <f>VLOOKUP(Table25755252691013434446474849565758596315181719224566677172737476777879939495100104109111[[#This Row],[PEG]],Table1016[#All],3,FALSE)</f>
        <v>#N/A</v>
      </c>
    </row>
    <row r="21" spans="1:5">
      <c r="A21" s="114">
        <v>14</v>
      </c>
      <c r="B21" s="110" t="s">
        <v>13</v>
      </c>
      <c r="C21" s="17" t="s">
        <v>13</v>
      </c>
      <c r="D21" s="111"/>
      <c r="E21" s="31"/>
    </row>
  </sheetData>
  <mergeCells count="1">
    <mergeCell ref="A1:B1"/>
  </mergeCells>
  <conditionalFormatting sqref="B8">
    <cfRule type="containsText" dxfId="4663" priority="11" operator="containsText" text="Hear">
      <formula>NOT(ISERROR(SEARCH("Hear",B8)))</formula>
    </cfRule>
  </conditionalFormatting>
  <conditionalFormatting sqref="B21">
    <cfRule type="containsText" dxfId="4662" priority="17" operator="containsText" text="Hear">
      <formula>NOT(ISERROR(SEARCH("Hear",B21)))</formula>
    </cfRule>
  </conditionalFormatting>
  <conditionalFormatting sqref="E21">
    <cfRule type="containsText" dxfId="4661" priority="15" operator="containsText" text="WEB SERVICE">
      <formula>NOT(ISERROR(SEARCH("WEB SERVICE",E21)))</formula>
    </cfRule>
    <cfRule type="containsText" dxfId="4660" priority="16" operator="containsText" text="DB">
      <formula>NOT(ISERROR(SEARCH("DB",E21)))</formula>
    </cfRule>
  </conditionalFormatting>
  <conditionalFormatting sqref="C21">
    <cfRule type="expression" dxfId="4659" priority="20">
      <formula>$B21="HANGUP"</formula>
    </cfRule>
  </conditionalFormatting>
  <conditionalFormatting sqref="B13:B14">
    <cfRule type="containsText" dxfId="4658" priority="9" operator="containsText" text="Hear">
      <formula>NOT(ISERROR(SEARCH("Hear",B13)))</formula>
    </cfRule>
  </conditionalFormatting>
  <conditionalFormatting sqref="B19:B20">
    <cfRule type="containsText" dxfId="4657" priority="10" operator="containsText" text="Hear">
      <formula>NOT(ISERROR(SEARCH("Hear",B19)))</formula>
    </cfRule>
  </conditionalFormatting>
  <conditionalFormatting sqref="B9:B12">
    <cfRule type="containsText" dxfId="4656" priority="8" operator="containsText" text="Hear">
      <formula>NOT(ISERROR(SEARCH("Hear",B9)))</formula>
    </cfRule>
  </conditionalFormatting>
  <conditionalFormatting sqref="B15:B18">
    <cfRule type="containsText" dxfId="4655" priority="7" operator="containsText" text="Hear">
      <formula>NOT(ISERROR(SEARCH("Hear",B15)))</formula>
    </cfRule>
  </conditionalFormatting>
  <hyperlinks>
    <hyperlink ref="A1" location="'Test Case Overview'!A1" display="Return to Test Case Overview" xr:uid="{00000000-0004-0000-3E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1" id="{842F6882-8384-460C-A221-DEB252F35B2D}">
            <xm:f>'TC1'!$B8="HANGUP"</xm:f>
            <x14:dxf>
              <font>
                <b/>
                <i val="0"/>
              </font>
            </x14:dxf>
          </x14:cfRule>
          <x14:cfRule type="expression" priority="22" id="{4ED99FE4-DA7D-4A19-9B87-8DDA8A1FDB72}">
            <xm:f>'TC1'!$B8="Dial"</xm:f>
            <x14:dxf>
              <font>
                <b/>
                <i val="0"/>
                <color rgb="FFFF0000"/>
              </font>
            </x14:dxf>
          </x14:cfRule>
          <xm:sqref>C8</xm:sqref>
        </x14:conditionalFormatting>
        <x14:conditionalFormatting xmlns:xm="http://schemas.microsoft.com/office/excel/2006/main">
          <x14:cfRule type="expression" priority="23" id="{F01F05F0-BA0F-402F-8A4E-15D6D85C5289}">
            <xm:f>'TC1'!$B8="Speak"</xm:f>
            <x14:dxf>
              <font>
                <b/>
                <i val="0"/>
                <color rgb="FFFF0000"/>
              </font>
            </x14:dxf>
          </x14:cfRule>
          <xm:sqref>C8</xm:sqref>
        </x14:conditionalFormatting>
        <x14:conditionalFormatting xmlns:xm="http://schemas.microsoft.com/office/excel/2006/main">
          <x14:cfRule type="containsText" priority="19" operator="containsText" text="DB" id="{A8EB3954-D080-43E4-AC26-EBF4D19B6E5C}">
            <xm:f>NOT(ISERROR(SEARCH("DB",'TC1'!E10)))</xm:f>
            <x14:dxf>
              <font>
                <color rgb="FF006100"/>
              </font>
              <fill>
                <patternFill>
                  <bgColor rgb="FFC6EFCE"/>
                </patternFill>
              </fill>
            </x14:dxf>
          </x14:cfRule>
          <x14:cfRule type="containsText" priority="24" operator="containsText" text="WEB SERVICE" id="{1ECF067D-ECD3-4C74-8A2B-F568243A9973}">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518" id="{842F6882-8384-460C-A221-DEB252F35B2D}">
            <xm:f>'TC1'!#REF!="HANGUP"</xm:f>
            <x14:dxf>
              <font>
                <b/>
                <i val="0"/>
              </font>
            </x14:dxf>
          </x14:cfRule>
          <x14:cfRule type="expression" priority="1519" id="{4ED99FE4-DA7D-4A19-9B87-8DDA8A1FDB72}">
            <xm:f>'TC1'!#REF!="Dial"</xm:f>
            <x14:dxf>
              <font>
                <b/>
                <i val="0"/>
                <color rgb="FFFF0000"/>
              </font>
            </x14:dxf>
          </x14:cfRule>
          <xm:sqref>C13:C15 C17 C19:C20</xm:sqref>
        </x14:conditionalFormatting>
        <x14:conditionalFormatting xmlns:xm="http://schemas.microsoft.com/office/excel/2006/main">
          <x14:cfRule type="expression" priority="1524" id="{F01F05F0-BA0F-402F-8A4E-15D6D85C5289}">
            <xm:f>'TC1'!#REF!="Speak"</xm:f>
            <x14:dxf>
              <font>
                <b/>
                <i val="0"/>
                <color rgb="FFFF0000"/>
              </font>
            </x14:dxf>
          </x14:cfRule>
          <xm:sqref>C13:C15 C17 C19:C20</xm:sqref>
        </x14:conditionalFormatting>
        <x14:conditionalFormatting xmlns:xm="http://schemas.microsoft.com/office/excel/2006/main">
          <x14:cfRule type="containsText" priority="1530" operator="containsText" text="DB" id="{A8EB3954-D080-43E4-AC26-EBF4D19B6E5C}">
            <xm:f>NOT(ISERROR(SEARCH("DB",'TC1'!#REF!)))</xm:f>
            <x14:dxf>
              <font>
                <color rgb="FF006100"/>
              </font>
              <fill>
                <patternFill>
                  <bgColor rgb="FFC6EFCE"/>
                </patternFill>
              </fill>
            </x14:dxf>
          </x14:cfRule>
          <x14:cfRule type="containsText" priority="1531" operator="containsText" text="WEB SERVICE" id="{1ECF067D-ECD3-4C74-8A2B-F568243A9973}">
            <xm:f>NOT(ISERROR(SEARCH("WEB SERVICE",'TC1'!#REF!)))</xm:f>
            <x14:dxf>
              <font>
                <color rgb="FF9C0006"/>
              </font>
              <fill>
                <patternFill>
                  <bgColor rgb="FFFFC7CE"/>
                </patternFill>
              </fill>
            </x14:dxf>
          </x14:cfRule>
          <xm:sqref>E13:E20</xm:sqref>
        </x14:conditionalFormatting>
        <x14:conditionalFormatting xmlns:xm="http://schemas.microsoft.com/office/excel/2006/main">
          <x14:cfRule type="expression" priority="3864" id="{842F6882-8384-460C-A221-DEB252F35B2D}">
            <xm:f>'TC1'!$B10="HANGUP"</xm:f>
            <x14:dxf>
              <font>
                <b/>
                <i val="0"/>
              </font>
            </x14:dxf>
          </x14:cfRule>
          <x14:cfRule type="expression" priority="3865" id="{4ED99FE4-DA7D-4A19-9B87-8DDA8A1FDB72}">
            <xm:f>'TC1'!$B10="Dial"</xm:f>
            <x14:dxf>
              <font>
                <b/>
                <i val="0"/>
                <color rgb="FFFF0000"/>
              </font>
            </x14:dxf>
          </x14:cfRule>
          <xm:sqref>C9:C12</xm:sqref>
        </x14:conditionalFormatting>
        <x14:conditionalFormatting xmlns:xm="http://schemas.microsoft.com/office/excel/2006/main">
          <x14:cfRule type="expression" priority="3867" id="{F01F05F0-BA0F-402F-8A4E-15D6D85C5289}">
            <xm:f>'TC1'!$B10="Speak"</xm:f>
            <x14:dxf>
              <font>
                <b/>
                <i val="0"/>
                <color rgb="FFFF0000"/>
              </font>
            </x14:dxf>
          </x14:cfRule>
          <xm:sqref>C9:C12</xm:sqref>
        </x14:conditionalFormatting>
        <x14:conditionalFormatting xmlns:xm="http://schemas.microsoft.com/office/excel/2006/main">
          <x14:cfRule type="expression" priority="4" id="{6BB9AB9A-0E47-4229-8B1B-25F4CE8B8CDB}">
            <xm:f>'\Users\deannah\Wyndham Testing\[Wyndham Destinations_TestCaseOverview_V3_Template.xlsx]TC1'!#REF!="HANGUP"</xm:f>
            <x14:dxf>
              <font>
                <b/>
                <i val="0"/>
              </font>
            </x14:dxf>
          </x14:cfRule>
          <x14:cfRule type="expression" priority="5" id="{B5DAE486-71E4-40D7-8096-751ECD800EEB}">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6" id="{0DE39FF2-644B-405B-BDE9-E133FF57A4F7}">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1" id="{47108BE1-90F8-4657-AA9C-82CF173DC718}">
            <xm:f>'\Users\deannah\Wyndham Testing\[Wyndham Destinations_TestCaseOverview_V3_Template.xlsx]TC1'!#REF!="HANGUP"</xm:f>
            <x14:dxf>
              <font>
                <b/>
                <i val="0"/>
              </font>
            </x14:dxf>
          </x14:cfRule>
          <x14:cfRule type="expression" priority="2" id="{FB48CF5B-EE47-4A56-B572-9A7A924955FF}">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3" id="{6A25C44A-B336-48DE-BE6A-1DE0C87A458B}">
            <xm:f>'\Users\deannah\Wyndham Testing\[Wyndham Destinations_TestCaseOverview_V3_Template.xlsx]TC1'!#REF!="Speak"</xm:f>
            <x14:dxf>
              <font>
                <b/>
                <i val="0"/>
                <color rgb="FFFF0000"/>
              </font>
            </x14:dxf>
          </x14:cfRule>
          <xm:sqref>C18</xm:sqref>
        </x14:conditionalFormatting>
      </x14:conditionalFormatting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5"/>
  <dimension ref="A1:E21"/>
  <sheetViews>
    <sheetView zoomScaleNormal="100" workbookViewId="0">
      <selection activeCell="B24" sqref="B2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TC63</v>
      </c>
      <c r="C2" s="94"/>
      <c r="D2" s="107"/>
      <c r="E2" s="93"/>
    </row>
    <row r="3" spans="1:5">
      <c r="A3" s="100" t="s">
        <v>19</v>
      </c>
      <c r="B3" s="108">
        <f ca="1">VLOOKUP(B2,Table1[#All],2,FALSE)</f>
        <v>0</v>
      </c>
      <c r="C3" s="94"/>
      <c r="D3" s="107"/>
      <c r="E3" s="93"/>
    </row>
    <row r="4" spans="1:5" ht="30">
      <c r="A4" s="109" t="s">
        <v>20</v>
      </c>
      <c r="B4" s="95" t="str">
        <f ca="1">VLOOKUP(B2,Table1[#All],4,FALSE)</f>
        <v>more than 3 contract=no, Autopay active, no AmtDue</v>
      </c>
      <c r="C4" s="94"/>
      <c r="D4" s="107"/>
      <c r="E4" s="93"/>
    </row>
    <row r="5" spans="1:5" ht="45">
      <c r="A5" s="100" t="s">
        <v>6</v>
      </c>
      <c r="B5" s="89" t="str">
        <f ca="1">VLOOKUP(B2,Table1[#All],3,FALSE)</f>
        <v>CallStart MM/Payments/ check status/ID Auth/FinSVCS2/FinSVCS3/Autopay active/Hear no AmtDue//HU at Wrap menu 2</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VLOOKUP(Table25755252691013434446474849565758596315181719224566677172737476777879939495100104109111113[[#This Row],[PEG]],Table1016[#All],2,FALSE)</f>
        <v>CallID.wav Call ID &lt;CallID&gt;</v>
      </c>
      <c r="D9" s="145" t="s">
        <v>477</v>
      </c>
      <c r="E9" s="122" t="str">
        <f>VLOOKUP(Table25755252691013434446474849565758596315181719224566677172737476777879939495100104109111113[[#This Row],[PEG]],Table1016[#All],3,FALSE)</f>
        <v>TEST</v>
      </c>
    </row>
    <row r="10" spans="1:5" ht="30">
      <c r="A10" s="114">
        <v>3</v>
      </c>
      <c r="B10" s="110" t="s">
        <v>115</v>
      </c>
      <c r="C10" s="105" t="str">
        <f>VLOOKUP(Table25755252691013434446474849565758596315181719224566677172737476777879939495100104109111113[[#This Row],[PEG]],Table1016[#All],2,FALSE)</f>
        <v>0100.wav Thank you for calling Shell vacations Club, we are glad you called. Please have your account number available for faster service. [To continue in Spanish, press 9]</v>
      </c>
      <c r="D10" s="145">
        <v>100</v>
      </c>
      <c r="E10" s="122" t="str">
        <f>VLOOKUP(Table25755252691013434446474849565758596315181719224566677172737476777879939495100104109111113[[#This Row],[PEG]],Table1016[#All],3,FALSE)</f>
        <v>PLAY PROMPT</v>
      </c>
    </row>
    <row r="11" spans="1:5" ht="30">
      <c r="A11" s="114">
        <v>4</v>
      </c>
      <c r="B11" s="110" t="s">
        <v>115</v>
      </c>
      <c r="C11" s="105" t="str">
        <f>VLOOKUP(Table25755252691013434446474849565758596315181719224566677172737476777879939495100104109111113[[#This Row],[PEG]],Table1016[#All],2,FALSE)</f>
        <v>0110-1.wav Which would you like? You can say... reservations, payments &amp; statements, title &amp; ownership changes, or more options.</v>
      </c>
      <c r="D11" s="145">
        <v>110</v>
      </c>
      <c r="E11" s="122" t="str">
        <f>VLOOKUP(Table25755252691013434446474849565758596315181719224566677172737476777879939495100104109111113[[#This Row],[PEG]],Table1016[#All],3,FALSE)</f>
        <v>MENU PROMPT</v>
      </c>
    </row>
    <row r="12" spans="1:5">
      <c r="A12" s="114">
        <v>5</v>
      </c>
      <c r="B12" s="110" t="s">
        <v>124</v>
      </c>
      <c r="C12" s="158" t="s">
        <v>565</v>
      </c>
      <c r="D12" s="145"/>
      <c r="E12" s="122" t="e">
        <f>VLOOKUP(Table25755252691013434446474849565758596315181719224566677172737476777879939495100104109111113[[#This Row],[PEG]],Table1016[#All],3,FALSE)</f>
        <v>#N/A</v>
      </c>
    </row>
    <row r="13" spans="1:5" ht="30">
      <c r="A13" s="114">
        <v>6</v>
      </c>
      <c r="B13" s="110" t="s">
        <v>115</v>
      </c>
      <c r="C13" s="105" t="str">
        <f>VLOOKUP(Table25755252691013434446474849565758596315181719224566677172737476777879939495100104109111113[[#This Row],[PEG]],Table1016[#All],2,FALSE)</f>
        <v>400.wav You can say make a payment, check account status, request a document, or more options. Which would you like?</v>
      </c>
      <c r="D13" s="145">
        <v>400</v>
      </c>
      <c r="E13" s="122" t="str">
        <f>VLOOKUP(Table25755252691013434446474849565758596315181719224566677172737476777879939495100104109111113[[#This Row],[PEG]],Table1016[#All],3,FALSE)</f>
        <v>MENU PROMPT</v>
      </c>
    </row>
    <row r="14" spans="1:5">
      <c r="A14" s="114">
        <v>7</v>
      </c>
      <c r="B14" s="110" t="s">
        <v>124</v>
      </c>
      <c r="C14" s="151" t="s">
        <v>583</v>
      </c>
      <c r="D14" s="125"/>
      <c r="E14" s="122" t="e">
        <f>VLOOKUP(Table25755252691013434446474849565758596315181719224566677172737476777879939495100104109111113[[#This Row],[PEG]],Table1016[#All],3,FALSE)</f>
        <v>#N/A</v>
      </c>
    </row>
    <row r="15" spans="1:5">
      <c r="A15" s="114">
        <v>8</v>
      </c>
      <c r="B15" s="110" t="s">
        <v>115</v>
      </c>
      <c r="C15" s="105" t="str">
        <f>VLOOKUP(Table25755252691013434446474849565758596315181719224566677172737476777879939495100104109111113[[#This Row],[PEG]],Table1016[#All],2,FALSE)</f>
        <v>0200-1.wav To get started, what is your account number?</v>
      </c>
      <c r="D15" s="112">
        <v>200</v>
      </c>
      <c r="E15" s="122" t="str">
        <f>VLOOKUP(Table25755252691013434446474849565758596315181719224566677172737476777879939495100104109111113[[#This Row],[PEG]],Table1016[#All],3,FALSE)</f>
        <v>MENU PROMPT</v>
      </c>
    </row>
    <row r="16" spans="1:5">
      <c r="A16" s="114">
        <v>9</v>
      </c>
      <c r="B16" s="110" t="s">
        <v>124</v>
      </c>
      <c r="C16" s="151" t="s">
        <v>515</v>
      </c>
      <c r="D16" s="112"/>
      <c r="E16" s="122" t="e">
        <f>VLOOKUP(Table25755252691013434446474849565758596315181719224566677172737476777879939495100104109111113[[#This Row],[PEG]],Table1016[#All],3,FALSE)</f>
        <v>#N/A</v>
      </c>
    </row>
    <row r="17" spans="1:5">
      <c r="A17" s="114">
        <v>10</v>
      </c>
      <c r="B17" s="110" t="s">
        <v>115</v>
      </c>
      <c r="C17" s="105" t="str">
        <f>VLOOKUP(Table25755252691013434446474849565758596315181719224566677172737476777879939495100104109111113[[#This Row],[PEG]],Table1016[#All],2,FALSE)</f>
        <v>0210-1.wav And the date of birth for the primary owner?</v>
      </c>
      <c r="D17" s="113">
        <v>210</v>
      </c>
      <c r="E17" s="122" t="str">
        <f>VLOOKUP(Table25755252691013434446474849565758596315181719224566677172737476777879939495100104109111113[[#This Row],[PEG]],Table1016[#All],3,FALSE)</f>
        <v>MENU PROMPT</v>
      </c>
    </row>
    <row r="18" spans="1:5">
      <c r="A18" s="114">
        <v>11</v>
      </c>
      <c r="B18" s="110" t="s">
        <v>124</v>
      </c>
      <c r="C18" s="151" t="s">
        <v>524</v>
      </c>
      <c r="D18" s="113"/>
      <c r="E18" s="122" t="e">
        <f>VLOOKUP(Table25755252691013434446474849565758596315181719224566677172737476777879939495100104109111113[[#This Row],[PEG]],Table1016[#All],3,FALSE)</f>
        <v>#N/A</v>
      </c>
    </row>
    <row r="19" spans="1:5" ht="30">
      <c r="A19" s="114">
        <v>12</v>
      </c>
      <c r="B19" s="110" t="s">
        <v>115</v>
      </c>
      <c r="C19" s="105" t="str">
        <f>VLOOKUP(Table25755252691013434446474849565758596315181719224566677172737476777879939495100104109111113[[#This Row],[PEG]],Table1016[#All],2,FALSE)</f>
        <v xml:space="preserve">0460.wav Your account is current, and no payment is due at this time. Your last payment of [amount] was received on [date]. </v>
      </c>
      <c r="D19" s="113">
        <v>460</v>
      </c>
      <c r="E19" s="122" t="str">
        <f>VLOOKUP(Table25755252691013434446474849565758596315181719224566677172737476777879939495100104109111113[[#This Row],[PEG]],Table1016[#All],3,FALSE)</f>
        <v>PLAY PROMPT</v>
      </c>
    </row>
    <row r="20" spans="1:5">
      <c r="A20" s="114">
        <v>13</v>
      </c>
      <c r="B20" s="110" t="s">
        <v>115</v>
      </c>
      <c r="C20" s="105" t="str">
        <f>VLOOKUP(Table25755252691013434446474849565758596315181719224566677172737476777879939495100104109111113[[#This Row],[PEG]],Table1016[#All],2,FALSE)</f>
        <v>0930.wav Is there anything else I can help you with today? You can say main menu or simply hang up.</v>
      </c>
      <c r="D20" s="113">
        <v>930</v>
      </c>
      <c r="E20" s="122" t="str">
        <f>VLOOKUP(Table25755252691013434446474849565758596315181719224566677172737476777879939495100104109111113[[#This Row],[PEG]],Table1016[#All],3,FALSE)</f>
        <v>MENU PROMPT</v>
      </c>
    </row>
    <row r="21" spans="1:5">
      <c r="A21" s="114">
        <v>14</v>
      </c>
      <c r="B21" s="110" t="s">
        <v>13</v>
      </c>
      <c r="C21" s="17" t="s">
        <v>13</v>
      </c>
      <c r="D21" s="111"/>
      <c r="E21" s="31"/>
    </row>
  </sheetData>
  <mergeCells count="1">
    <mergeCell ref="A1:B1"/>
  </mergeCells>
  <conditionalFormatting sqref="B8">
    <cfRule type="containsText" dxfId="4626" priority="8" operator="containsText" text="Hear">
      <formula>NOT(ISERROR(SEARCH("Hear",B8)))</formula>
    </cfRule>
  </conditionalFormatting>
  <conditionalFormatting sqref="B19:B21">
    <cfRule type="containsText" dxfId="4625" priority="14" operator="containsText" text="Hear">
      <formula>NOT(ISERROR(SEARCH("Hear",B19)))</formula>
    </cfRule>
  </conditionalFormatting>
  <conditionalFormatting sqref="E21">
    <cfRule type="containsText" dxfId="4624" priority="12" operator="containsText" text="WEB SERVICE">
      <formula>NOT(ISERROR(SEARCH("WEB SERVICE",E21)))</formula>
    </cfRule>
    <cfRule type="containsText" dxfId="4623" priority="13" operator="containsText" text="DB">
      <formula>NOT(ISERROR(SEARCH("DB",E21)))</formula>
    </cfRule>
  </conditionalFormatting>
  <conditionalFormatting sqref="C21">
    <cfRule type="expression" dxfId="4622" priority="15">
      <formula>$B21="Dial"</formula>
    </cfRule>
    <cfRule type="expression" dxfId="4621" priority="17">
      <formula>$B21="HANGUP"</formula>
    </cfRule>
  </conditionalFormatting>
  <conditionalFormatting sqref="C21">
    <cfRule type="expression" dxfId="4620" priority="9">
      <formula>$B21="Speak"</formula>
    </cfRule>
  </conditionalFormatting>
  <conditionalFormatting sqref="B9:B18">
    <cfRule type="containsText" dxfId="4619" priority="7" operator="containsText" text="Hear">
      <formula>NOT(ISERROR(SEARCH("Hear",B9)))</formula>
    </cfRule>
  </conditionalFormatting>
  <hyperlinks>
    <hyperlink ref="A1" location="'Test Case Overview'!A1" display="Return to Test Case Overview" xr:uid="{00000000-0004-0000-3F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8" id="{D9868C18-8065-4AC6-9538-7F54A50334C3}">
            <xm:f>'TC1'!$B8="HANGUP"</xm:f>
            <x14:dxf>
              <font>
                <b/>
                <i val="0"/>
              </font>
            </x14:dxf>
          </x14:cfRule>
          <x14:cfRule type="expression" priority="19" id="{F265DE1B-AE71-4D7C-96FD-7FCAEA423CCC}">
            <xm:f>'TC1'!$B8="Dial"</xm:f>
            <x14:dxf>
              <font>
                <b/>
                <i val="0"/>
                <color rgb="FFFF0000"/>
              </font>
            </x14:dxf>
          </x14:cfRule>
          <xm:sqref>C8</xm:sqref>
        </x14:conditionalFormatting>
        <x14:conditionalFormatting xmlns:xm="http://schemas.microsoft.com/office/excel/2006/main">
          <x14:cfRule type="expression" priority="20" id="{63597B58-7004-4E3D-860E-58DBDDB3E648}">
            <xm:f>'TC1'!$B8="Speak"</xm:f>
            <x14:dxf>
              <font>
                <b/>
                <i val="0"/>
                <color rgb="FFFF0000"/>
              </font>
            </x14:dxf>
          </x14:cfRule>
          <xm:sqref>C8</xm:sqref>
        </x14:conditionalFormatting>
        <x14:conditionalFormatting xmlns:xm="http://schemas.microsoft.com/office/excel/2006/main">
          <x14:cfRule type="containsText" priority="16" operator="containsText" text="DB" id="{688F8D66-190F-46C5-9D43-9549E6E78013}">
            <xm:f>NOT(ISERROR(SEARCH("DB",'TC1'!E10)))</xm:f>
            <x14:dxf>
              <font>
                <color rgb="FF006100"/>
              </font>
              <fill>
                <patternFill>
                  <bgColor rgb="FFC6EFCE"/>
                </patternFill>
              </fill>
            </x14:dxf>
          </x14:cfRule>
          <x14:cfRule type="containsText" priority="21" operator="containsText" text="WEB SERVICE" id="{56585F14-0302-4086-9E10-F50DABA8940A}">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535" id="{D9868C18-8065-4AC6-9538-7F54A50334C3}">
            <xm:f>'TC1'!#REF!="HANGUP"</xm:f>
            <x14:dxf>
              <font>
                <b/>
                <i val="0"/>
              </font>
            </x14:dxf>
          </x14:cfRule>
          <x14:cfRule type="expression" priority="1536" id="{F265DE1B-AE71-4D7C-96FD-7FCAEA423CCC}">
            <xm:f>'TC1'!#REF!="Dial"</xm:f>
            <x14:dxf>
              <font>
                <b/>
                <i val="0"/>
                <color rgb="FFFF0000"/>
              </font>
            </x14:dxf>
          </x14:cfRule>
          <xm:sqref>C13:C15 C17 C19:C20</xm:sqref>
        </x14:conditionalFormatting>
        <x14:conditionalFormatting xmlns:xm="http://schemas.microsoft.com/office/excel/2006/main">
          <x14:cfRule type="expression" priority="1541" id="{63597B58-7004-4E3D-860E-58DBDDB3E648}">
            <xm:f>'TC1'!#REF!="Speak"</xm:f>
            <x14:dxf>
              <font>
                <b/>
                <i val="0"/>
                <color rgb="FFFF0000"/>
              </font>
            </x14:dxf>
          </x14:cfRule>
          <xm:sqref>C13:C15 C17 C19:C20</xm:sqref>
        </x14:conditionalFormatting>
        <x14:conditionalFormatting xmlns:xm="http://schemas.microsoft.com/office/excel/2006/main">
          <x14:cfRule type="containsText" priority="1547" operator="containsText" text="DB" id="{688F8D66-190F-46C5-9D43-9549E6E78013}">
            <xm:f>NOT(ISERROR(SEARCH("DB",'TC1'!#REF!)))</xm:f>
            <x14:dxf>
              <font>
                <color rgb="FF006100"/>
              </font>
              <fill>
                <patternFill>
                  <bgColor rgb="FFC6EFCE"/>
                </patternFill>
              </fill>
            </x14:dxf>
          </x14:cfRule>
          <x14:cfRule type="containsText" priority="1548" operator="containsText" text="WEB SERVICE" id="{56585F14-0302-4086-9E10-F50DABA8940A}">
            <xm:f>NOT(ISERROR(SEARCH("WEB SERVICE",'TC1'!#REF!)))</xm:f>
            <x14:dxf>
              <font>
                <color rgb="FF9C0006"/>
              </font>
              <fill>
                <patternFill>
                  <bgColor rgb="FFFFC7CE"/>
                </patternFill>
              </fill>
            </x14:dxf>
          </x14:cfRule>
          <xm:sqref>E13:E20</xm:sqref>
        </x14:conditionalFormatting>
        <x14:conditionalFormatting xmlns:xm="http://schemas.microsoft.com/office/excel/2006/main">
          <x14:cfRule type="expression" priority="3869" id="{D9868C18-8065-4AC6-9538-7F54A50334C3}">
            <xm:f>'TC1'!$B10="HANGUP"</xm:f>
            <x14:dxf>
              <font>
                <b/>
                <i val="0"/>
              </font>
            </x14:dxf>
          </x14:cfRule>
          <x14:cfRule type="expression" priority="3870" id="{F265DE1B-AE71-4D7C-96FD-7FCAEA423CCC}">
            <xm:f>'TC1'!$B10="Dial"</xm:f>
            <x14:dxf>
              <font>
                <b/>
                <i val="0"/>
                <color rgb="FFFF0000"/>
              </font>
            </x14:dxf>
          </x14:cfRule>
          <xm:sqref>C9:C12</xm:sqref>
        </x14:conditionalFormatting>
        <x14:conditionalFormatting xmlns:xm="http://schemas.microsoft.com/office/excel/2006/main">
          <x14:cfRule type="expression" priority="3872" id="{63597B58-7004-4E3D-860E-58DBDDB3E648}">
            <xm:f>'TC1'!$B10="Speak"</xm:f>
            <x14:dxf>
              <font>
                <b/>
                <i val="0"/>
                <color rgb="FFFF0000"/>
              </font>
            </x14:dxf>
          </x14:cfRule>
          <xm:sqref>C9:C12</xm:sqref>
        </x14:conditionalFormatting>
        <x14:conditionalFormatting xmlns:xm="http://schemas.microsoft.com/office/excel/2006/main">
          <x14:cfRule type="expression" priority="4" id="{C0CE569B-A06B-4847-8F05-BFEF93539541}">
            <xm:f>'\Users\deannah\Wyndham Testing\[Wyndham Destinations_TestCaseOverview_V3_Template.xlsx]TC1'!#REF!="HANGUP"</xm:f>
            <x14:dxf>
              <font>
                <b/>
                <i val="0"/>
              </font>
            </x14:dxf>
          </x14:cfRule>
          <x14:cfRule type="expression" priority="5" id="{0201AD24-E1B5-4656-9E3C-3ABDFAC1CDC4}">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6" id="{7F41BB0C-EEB4-49AD-86FD-814378A1C305}">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1" id="{456D23A1-CCD7-457C-B2AE-79F40C70E0E3}">
            <xm:f>'\Users\deannah\Wyndham Testing\[Wyndham Destinations_TestCaseOverview_V3_Template.xlsx]TC1'!#REF!="HANGUP"</xm:f>
            <x14:dxf>
              <font>
                <b/>
                <i val="0"/>
              </font>
            </x14:dxf>
          </x14:cfRule>
          <x14:cfRule type="expression" priority="2" id="{DD024208-39C4-4D99-995C-10C7C40B2966}">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3" id="{10E0870C-CCD1-4876-A080-262629B9CE9F}">
            <xm:f>'\Users\deannah\Wyndham Testing\[Wyndham Destinations_TestCaseOverview_V3_Template.xlsx]TC1'!#REF!="Speak"</xm:f>
            <x14:dxf>
              <font>
                <b/>
                <i val="0"/>
                <color rgb="FFFF0000"/>
              </font>
            </x14:dxf>
          </x14:cfRule>
          <xm:sqref>C18</xm:sqref>
        </x14:conditionalFormatting>
      </x14:conditionalFormatting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6"/>
  <dimension ref="A1:E34"/>
  <sheetViews>
    <sheetView zoomScaleNormal="100" workbookViewId="0">
      <selection sqref="A1:B1"/>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TC64</v>
      </c>
      <c r="C2" s="94"/>
      <c r="D2" s="107"/>
      <c r="E2" s="93"/>
    </row>
    <row r="3" spans="1:5">
      <c r="A3" s="100" t="s">
        <v>19</v>
      </c>
      <c r="B3" s="108">
        <f ca="1">VLOOKUP(B2,Table1[#All],2,FALSE)</f>
        <v>0</v>
      </c>
      <c r="C3" s="94"/>
      <c r="D3" s="107"/>
      <c r="E3" s="93"/>
    </row>
    <row r="4" spans="1:5" ht="30">
      <c r="A4" s="109" t="s">
        <v>20</v>
      </c>
      <c r="B4" s="95" t="str">
        <f ca="1">VLOOKUP(B2,Table1[#All],4,FALSE)</f>
        <v>1098 active</v>
      </c>
      <c r="C4" s="94"/>
      <c r="D4" s="107"/>
      <c r="E4" s="93"/>
    </row>
    <row r="5" spans="1:5" ht="90">
      <c r="A5" s="100" t="s">
        <v>6</v>
      </c>
      <c r="B5" s="89" t="str">
        <f ca="1">VLOOKUP(B2,Table1[#All],3,FALSE)</f>
        <v>CallStart MM/Payments/ request doc/ID Auth/FinSVCS2/FinSVCS3/1098 active/Press 1 Tax Doc/say yes for copy of 1098 at wrap menu say MM/Pmts/request doc/ say something else at dup copy/say POQuote/say yes at send ltr/ HU at Wrap menu</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VLOOKUP(Table25755252691013434446474849565758596315181719224566677172737476777879939495100104109111113115[[#This Row],[PEG]],Table1016[#All],2,FALSE)</f>
        <v>CallID.wav Call ID &lt;CallID&gt;</v>
      </c>
      <c r="D9" s="149" t="s">
        <v>477</v>
      </c>
      <c r="E9" s="122" t="str">
        <f>VLOOKUP(Table25755252691013434446474849565758596315181719224566677172737476777879939495100104109111113115[[#This Row],[PEG]],Table1016[#All],3,FALSE)</f>
        <v>TEST</v>
      </c>
    </row>
    <row r="10" spans="1:5" ht="30">
      <c r="A10" s="114">
        <v>3</v>
      </c>
      <c r="B10" s="110" t="s">
        <v>115</v>
      </c>
      <c r="C10" s="105" t="str">
        <f>VLOOKUP(Table25755252691013434446474849565758596315181719224566677172737476777879939495100104109111113115[[#This Row],[PEG]],Table1016[#All],2,FALSE)</f>
        <v>0100.wav Thank you for calling Shell vacations Club, we are glad you called. Please have your account number available for faster service. [To continue in Spanish, press 9]</v>
      </c>
      <c r="D10" s="149">
        <v>100</v>
      </c>
      <c r="E10" s="122" t="str">
        <f>VLOOKUP(Table25755252691013434446474849565758596315181719224566677172737476777879939495100104109111113115[[#This Row],[PEG]],Table1016[#All],3,FALSE)</f>
        <v>PLAY PROMPT</v>
      </c>
    </row>
    <row r="11" spans="1:5" ht="30">
      <c r="A11" s="114">
        <v>4</v>
      </c>
      <c r="B11" s="110" t="s">
        <v>115</v>
      </c>
      <c r="C11" s="105" t="str">
        <f>VLOOKUP(Table25755252691013434446474849565758596315181719224566677172737476777879939495100104109111113115[[#This Row],[PEG]],Table1016[#All],2,FALSE)</f>
        <v>0110-1.wav Which would you like? You can say... reservations, payments &amp; statements, title &amp; ownership changes, or more options.</v>
      </c>
      <c r="D11" s="149">
        <v>110</v>
      </c>
      <c r="E11" s="122" t="str">
        <f>VLOOKUP(Table25755252691013434446474849565758596315181719224566677172737476777879939495100104109111113115[[#This Row],[PEG]],Table1016[#All],3,FALSE)</f>
        <v>MENU PROMPT</v>
      </c>
    </row>
    <row r="12" spans="1:5">
      <c r="A12" s="114">
        <v>5</v>
      </c>
      <c r="B12" s="110" t="s">
        <v>124</v>
      </c>
      <c r="C12" s="158" t="s">
        <v>565</v>
      </c>
      <c r="D12" s="149"/>
      <c r="E12" s="122" t="e">
        <f>VLOOKUP(Table25755252691013434446474849565758596315181719224566677172737476777879939495100104109111113115[[#This Row],[PEG]],Table1016[#All],3,FALSE)</f>
        <v>#N/A</v>
      </c>
    </row>
    <row r="13" spans="1:5" ht="30">
      <c r="A13" s="114">
        <v>6</v>
      </c>
      <c r="B13" s="110" t="s">
        <v>115</v>
      </c>
      <c r="C13" s="105" t="str">
        <f>VLOOKUP(Table25755252691013434446474849565758596315181719224566677172737476777879939495100104109111113115[[#This Row],[PEG]],Table1016[#All],2,FALSE)</f>
        <v>400.wav You can say make a payment, check account status, request a document, or more options. Which would you like?</v>
      </c>
      <c r="D13" s="149">
        <v>400</v>
      </c>
      <c r="E13" s="122" t="str">
        <f>VLOOKUP(Table25755252691013434446474849565758596315181719224566677172737476777879939495100104109111113115[[#This Row],[PEG]],Table1016[#All],3,FALSE)</f>
        <v>MENU PROMPT</v>
      </c>
    </row>
    <row r="14" spans="1:5">
      <c r="A14" s="114">
        <v>7</v>
      </c>
      <c r="B14" s="110" t="s">
        <v>124</v>
      </c>
      <c r="C14" s="151" t="s">
        <v>587</v>
      </c>
      <c r="D14" s="125"/>
      <c r="E14" s="122" t="e">
        <f>VLOOKUP(Table25755252691013434446474849565758596315181719224566677172737476777879939495100104109111113115[[#This Row],[PEG]],Table1016[#All],3,FALSE)</f>
        <v>#N/A</v>
      </c>
    </row>
    <row r="15" spans="1:5">
      <c r="A15" s="114">
        <v>8</v>
      </c>
      <c r="B15" s="110" t="s">
        <v>115</v>
      </c>
      <c r="C15" s="105" t="str">
        <f>VLOOKUP(Table25755252691013434446474849565758596315181719224566677172737476777879939495100104109111113115[[#This Row],[PEG]],Table1016[#All],2,FALSE)</f>
        <v>0200-1.wav To get started, what is your account number?</v>
      </c>
      <c r="D15" s="112">
        <v>200</v>
      </c>
      <c r="E15" s="122" t="str">
        <f>VLOOKUP(Table25755252691013434446474849565758596315181719224566677172737476777879939495100104109111113115[[#This Row],[PEG]],Table1016[#All],3,FALSE)</f>
        <v>MENU PROMPT</v>
      </c>
    </row>
    <row r="16" spans="1:5">
      <c r="A16" s="114">
        <v>9</v>
      </c>
      <c r="B16" s="110" t="s">
        <v>114</v>
      </c>
      <c r="C16" s="151" t="s">
        <v>515</v>
      </c>
      <c r="D16" s="112"/>
      <c r="E16" s="122" t="e">
        <f>VLOOKUP(Table25755252691013434446474849565758596315181719224566677172737476777879939495100104109111113115[[#This Row],[PEG]],Table1016[#All],3,FALSE)</f>
        <v>#N/A</v>
      </c>
    </row>
    <row r="17" spans="1:5">
      <c r="A17" s="114">
        <v>10</v>
      </c>
      <c r="B17" s="110" t="s">
        <v>12</v>
      </c>
      <c r="C17" s="105" t="str">
        <f>VLOOKUP(Table25755252691013434446474849565758596315181719224566677172737476777879939495100104109111113115[[#This Row],[PEG]],Table1016[#All],2,FALSE)</f>
        <v>0210-1.wav And the date of birth for the primary owner?</v>
      </c>
      <c r="D17" s="113">
        <v>210</v>
      </c>
      <c r="E17" s="122" t="str">
        <f>VLOOKUP(Table25755252691013434446474849565758596315181719224566677172737476777879939495100104109111113115[[#This Row],[PEG]],Table1016[#All],3,FALSE)</f>
        <v>MENU PROMPT</v>
      </c>
    </row>
    <row r="18" spans="1:5">
      <c r="A18" s="114">
        <v>11</v>
      </c>
      <c r="B18" s="110" t="s">
        <v>124</v>
      </c>
      <c r="C18" s="151" t="s">
        <v>524</v>
      </c>
      <c r="D18" s="113"/>
      <c r="E18" s="122" t="e">
        <f>VLOOKUP(Table25755252691013434446474849565758596315181719224566677172737476777879939495100104109111113115[[#This Row],[PEG]],Table1016[#All],3,FALSE)</f>
        <v>#N/A</v>
      </c>
    </row>
    <row r="19" spans="1:5" ht="30">
      <c r="A19" s="114">
        <v>12</v>
      </c>
      <c r="B19" s="110" t="s">
        <v>115</v>
      </c>
      <c r="C19" s="105" t="str">
        <f>VLOOKUP(Table25755252691013434446474849565758596315181719224566677172737476777879939495100104109111113115[[#This Row],[PEG]],Table1016[#All],2,FALSE)</f>
        <v xml:space="preserve">0470.wav Which document would you like? You can say pay-off quote, statements, cancellation letter or tax documents. </v>
      </c>
      <c r="D19" s="113">
        <v>470</v>
      </c>
      <c r="E19" s="122" t="str">
        <f>VLOOKUP(Table25755252691013434446474849565758596315181719224566677172737476777879939495100104109111113115[[#This Row],[PEG]],Table1016[#All],3,FALSE)</f>
        <v>MENU PROMPT</v>
      </c>
    </row>
    <row r="20" spans="1:5">
      <c r="A20" s="114">
        <v>13</v>
      </c>
      <c r="B20" s="110" t="s">
        <v>124</v>
      </c>
      <c r="C20" s="151" t="s">
        <v>592</v>
      </c>
      <c r="D20" s="113"/>
      <c r="E20" s="122" t="e">
        <f>VLOOKUP(Table25755252691013434446474849565758596315181719224566677172737476777879939495100104109111113115[[#This Row],[PEG]],Table1016[#All],3,FALSE)</f>
        <v>#N/A</v>
      </c>
    </row>
    <row r="21" spans="1:5" ht="30">
      <c r="A21" s="114">
        <v>14</v>
      </c>
      <c r="B21" s="110" t="s">
        <v>115</v>
      </c>
      <c r="C21" s="105" t="str">
        <f>VLOOKUP(Table25755252691013434446474849565758596315181719224566677172737476777879939495100104109111113115[[#This Row],[PEG]],Table1016[#All],2,FALSE)</f>
        <v>0485.wav Your current payoff amount is [amount]. Would you like me to send you a payoff letter with this information?</v>
      </c>
      <c r="D21" s="113">
        <v>485</v>
      </c>
      <c r="E21" s="122" t="str">
        <f>VLOOKUP(Table25755252691013434446474849565758596315181719224566677172737476777879939495100104109111113115[[#This Row],[PEG]],Table1016[#All],3,FALSE)</f>
        <v>MENU PROMPT</v>
      </c>
    </row>
    <row r="22" spans="1:5">
      <c r="A22" s="114">
        <v>15</v>
      </c>
      <c r="B22" s="110" t="s">
        <v>124</v>
      </c>
      <c r="C22" s="151" t="s">
        <v>582</v>
      </c>
      <c r="D22" s="113"/>
      <c r="E22" s="122" t="e">
        <f>VLOOKUP(Table25755252691013434446474849565758596315181719224566677172737476777879939495100104109111113115[[#This Row],[PEG]],Table1016[#All],3,FALSE)</f>
        <v>#N/A</v>
      </c>
    </row>
    <row r="23" spans="1:5" ht="30">
      <c r="A23" s="114">
        <v>16</v>
      </c>
      <c r="B23" s="110" t="s">
        <v>115</v>
      </c>
      <c r="C23" s="105" t="str">
        <f>VLOOKUP(Table25755252691013434446474849565758596315181719224566677172737476777879939495100104109111113115[[#This Row],[PEG]],Table1016[#All],2,FALSE)</f>
        <v>0920.wav I've processed your request. Is there anything else I can help you with today? You can say main menu or simply hang up.</v>
      </c>
      <c r="D23" s="113">
        <v>920</v>
      </c>
      <c r="E23" s="122" t="str">
        <f>VLOOKUP(Table25755252691013434446474849565758596315181719224566677172737476777879939495100104109111113115[[#This Row],[PEG]],Table1016[#All],3,FALSE)</f>
        <v>MENU PROMPT</v>
      </c>
    </row>
    <row r="24" spans="1:5">
      <c r="A24" s="114">
        <v>17</v>
      </c>
      <c r="B24" s="110" t="s">
        <v>124</v>
      </c>
      <c r="C24" s="151" t="s">
        <v>595</v>
      </c>
      <c r="D24" s="113"/>
      <c r="E24" s="122" t="e">
        <f>VLOOKUP(Table25755252691013434446474849565758596315181719224566677172737476777879939495100104109111113115[[#This Row],[PEG]],Table1016[#All],3,FALSE)</f>
        <v>#N/A</v>
      </c>
    </row>
    <row r="25" spans="1:5" ht="30">
      <c r="A25" s="114">
        <v>18</v>
      </c>
      <c r="B25" s="110" t="s">
        <v>115</v>
      </c>
      <c r="C25" s="105" t="str">
        <f>VLOOKUP(Table25755252691013434446474849565758596315181719224566677172737476777879939495100104109111113115[[#This Row],[PEG]],Table1016[#All],2,FALSE)</f>
        <v>0110-1.wav Which would you like? You can say... reservations, payments &amp; statements, title &amp; ownership changes, or more options.</v>
      </c>
      <c r="D25" s="113">
        <v>110</v>
      </c>
      <c r="E25" s="122" t="str">
        <f>VLOOKUP(Table25755252691013434446474849565758596315181719224566677172737476777879939495100104109111113115[[#This Row],[PEG]],Table1016[#All],3,FALSE)</f>
        <v>MENU PROMPT</v>
      </c>
    </row>
    <row r="26" spans="1:5">
      <c r="A26" s="114">
        <v>19</v>
      </c>
      <c r="B26" s="110" t="s">
        <v>124</v>
      </c>
      <c r="C26" s="151" t="s">
        <v>565</v>
      </c>
      <c r="D26" s="149"/>
      <c r="E26" s="122" t="e">
        <f>VLOOKUP(Table25755252691013434446474849565758596315181719224566677172737476777879939495100104109111113115[[#This Row],[PEG]],Table1016[#All],3,FALSE)</f>
        <v>#N/A</v>
      </c>
    </row>
    <row r="27" spans="1:5" ht="30">
      <c r="A27" s="114">
        <v>20</v>
      </c>
      <c r="B27" s="110" t="s">
        <v>115</v>
      </c>
      <c r="C27" s="105" t="str">
        <f>VLOOKUP(Table25755252691013434446474849565758596315181719224566677172737476777879939495100104109111113115[[#This Row],[PEG]],Table1016[#All],2,FALSE)</f>
        <v>400.wav You can say make a payment, check account status, request a document, or more options. Which would you like?</v>
      </c>
      <c r="D27" s="149">
        <v>400</v>
      </c>
      <c r="E27" s="122" t="str">
        <f>VLOOKUP(Table25755252691013434446474849565758596315181719224566677172737476777879939495100104109111113115[[#This Row],[PEG]],Table1016[#All],3,FALSE)</f>
        <v>MENU PROMPT</v>
      </c>
    </row>
    <row r="28" spans="1:5">
      <c r="A28" s="114">
        <v>21</v>
      </c>
      <c r="B28" s="110" t="s">
        <v>124</v>
      </c>
      <c r="C28" s="151" t="s">
        <v>587</v>
      </c>
      <c r="D28" s="125"/>
      <c r="E28" s="122" t="e">
        <f>VLOOKUP(Table25755252691013434446474849565758596315181719224566677172737476777879939495100104109111113115[[#This Row],[PEG]],Table1016[#All],3,FALSE)</f>
        <v>#N/A</v>
      </c>
    </row>
    <row r="29" spans="1:5" ht="30">
      <c r="A29" s="114">
        <v>26</v>
      </c>
      <c r="B29" s="110" t="s">
        <v>115</v>
      </c>
      <c r="C29" s="105" t="str">
        <f>VLOOKUP(Table25755252691013434446474849565758596315181719224566677172737476777879939495100104109111113115[[#This Row],[PEG]],Table1016[#All],2,FALSE)</f>
        <v xml:space="preserve">0470.wav Which document would you like? You can say pay-off quote, statements, cancellation letter or tax documents. </v>
      </c>
      <c r="D29" s="113">
        <v>470</v>
      </c>
      <c r="E29" s="122" t="str">
        <f>VLOOKUP(Table25755252691013434446474849565758596315181719224566677172737476777879939495100104109111113115[[#This Row],[PEG]],Table1016[#All],3,FALSE)</f>
        <v>MENU PROMPT</v>
      </c>
    </row>
    <row r="30" spans="1:5">
      <c r="A30" s="114">
        <v>27</v>
      </c>
      <c r="B30" s="110" t="s">
        <v>124</v>
      </c>
      <c r="C30" s="151" t="s">
        <v>593</v>
      </c>
      <c r="D30" s="113"/>
      <c r="E30" s="122" t="e">
        <f>VLOOKUP(Table25755252691013434446474849565758596315181719224566677172737476777879939495100104109111113115[[#This Row],[PEG]],Table1016[#All],3,FALSE)</f>
        <v>#N/A</v>
      </c>
    </row>
    <row r="31" spans="1:5">
      <c r="A31" s="114">
        <v>28</v>
      </c>
      <c r="B31" s="110" t="s">
        <v>115</v>
      </c>
      <c r="C31" s="105" t="str">
        <f>VLOOKUP(Table25755252691013434446474849565758596315181719224566677172737476777879939495100104109111113115[[#This Row],[PEG]],Table1016[#All],2,FALSE)</f>
        <v xml:space="preserve">0490.wav Would you like me to send a copy of your most recent 1098 tax document to the address on file? </v>
      </c>
      <c r="D31" s="113">
        <v>490</v>
      </c>
      <c r="E31" s="122" t="str">
        <f>VLOOKUP(Table25755252691013434446474849565758596315181719224566677172737476777879939495100104109111113115[[#This Row],[PEG]],Table1016[#All],3,FALSE)</f>
        <v>MENU PROMPT</v>
      </c>
    </row>
    <row r="32" spans="1:5">
      <c r="A32" s="114">
        <v>29</v>
      </c>
      <c r="B32" s="110" t="s">
        <v>124</v>
      </c>
      <c r="C32" s="151" t="s">
        <v>582</v>
      </c>
      <c r="D32" s="113"/>
      <c r="E32" s="122" t="e">
        <f>VLOOKUP(Table25755252691013434446474849565758596315181719224566677172737476777879939495100104109111113115[[#This Row],[PEG]],Table1016[#All],3,FALSE)</f>
        <v>#N/A</v>
      </c>
    </row>
    <row r="33" spans="1:5" ht="30">
      <c r="A33" s="114">
        <v>30</v>
      </c>
      <c r="B33" s="110" t="s">
        <v>115</v>
      </c>
      <c r="C33" s="105" t="str">
        <f>VLOOKUP(Table25755252691013434446474849565758596315181719224566677172737476777879939495100104109111113115[[#This Row],[PEG]],Table1016[#All],2,FALSE)</f>
        <v>0920.wav I've processed your request. Is there anything else I can help you with today? You can say main menu or simply hang up.</v>
      </c>
      <c r="D33" s="113">
        <v>920</v>
      </c>
      <c r="E33" s="122" t="str">
        <f>VLOOKUP(Table25755252691013434446474849565758596315181719224566677172737476777879939495100104109111113115[[#This Row],[PEG]],Table1016[#All],3,FALSE)</f>
        <v>MENU PROMPT</v>
      </c>
    </row>
    <row r="34" spans="1:5">
      <c r="A34" s="114">
        <v>31</v>
      </c>
      <c r="B34" s="110" t="s">
        <v>13</v>
      </c>
      <c r="C34" s="17" t="s">
        <v>13</v>
      </c>
      <c r="D34" s="111"/>
      <c r="E34" s="31"/>
    </row>
  </sheetData>
  <mergeCells count="1">
    <mergeCell ref="A1:B1"/>
  </mergeCells>
  <conditionalFormatting sqref="B8 B26:B29">
    <cfRule type="containsText" dxfId="4590" priority="10" operator="containsText" text="Hear">
      <formula>NOT(ISERROR(SEARCH("Hear",B8)))</formula>
    </cfRule>
  </conditionalFormatting>
  <conditionalFormatting sqref="B33">
    <cfRule type="containsText" dxfId="4589" priority="12" operator="containsText" text="Hear">
      <formula>NOT(ISERROR(SEARCH("Hear",B33)))</formula>
    </cfRule>
  </conditionalFormatting>
  <conditionalFormatting sqref="B23:B25 B34">
    <cfRule type="containsText" dxfId="4588" priority="16" operator="containsText" text="Hear">
      <formula>NOT(ISERROR(SEARCH("Hear",B23)))</formula>
    </cfRule>
  </conditionalFormatting>
  <conditionalFormatting sqref="E34">
    <cfRule type="containsText" dxfId="4587" priority="14" operator="containsText" text="WEB SERVICE">
      <formula>NOT(ISERROR(SEARCH("WEB SERVICE",E34)))</formula>
    </cfRule>
    <cfRule type="containsText" dxfId="4586" priority="15" operator="containsText" text="DB">
      <formula>NOT(ISERROR(SEARCH("DB",E34)))</formula>
    </cfRule>
  </conditionalFormatting>
  <conditionalFormatting sqref="C34">
    <cfRule type="expression" dxfId="4585" priority="19">
      <formula>$B34="HANGUP"</formula>
    </cfRule>
  </conditionalFormatting>
  <conditionalFormatting sqref="B9:B22">
    <cfRule type="containsText" dxfId="4584" priority="9" operator="containsText" text="Hear">
      <formula>NOT(ISERROR(SEARCH("Hear",B9)))</formula>
    </cfRule>
  </conditionalFormatting>
  <conditionalFormatting sqref="B30:B32">
    <cfRule type="containsText" dxfId="4583" priority="2" operator="containsText" text="Hear">
      <formula>NOT(ISERROR(SEARCH("Hear",B30)))</formula>
    </cfRule>
  </conditionalFormatting>
  <hyperlinks>
    <hyperlink ref="A1" location="'Test Case Overview'!A1" display="Return to Test Case Overview" xr:uid="{00000000-0004-0000-40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0" id="{0FBCFE03-A690-4A7B-962E-C82EF588F255}">
            <xm:f>'TC1'!$B8="HANGUP"</xm:f>
            <x14:dxf>
              <font>
                <b/>
                <i val="0"/>
              </font>
            </x14:dxf>
          </x14:cfRule>
          <x14:cfRule type="expression" priority="21" id="{5872C411-63B7-42EE-9449-714E7B50C9F6}">
            <xm:f>'TC1'!$B8="Dial"</xm:f>
            <x14:dxf>
              <font>
                <b/>
                <i val="0"/>
                <color rgb="FFFF0000"/>
              </font>
            </x14:dxf>
          </x14:cfRule>
          <xm:sqref>C8</xm:sqref>
        </x14:conditionalFormatting>
        <x14:conditionalFormatting xmlns:xm="http://schemas.microsoft.com/office/excel/2006/main">
          <x14:cfRule type="expression" priority="22" id="{0D79EABC-446A-4D0C-A0E9-18C4B8D83550}">
            <xm:f>'TC1'!$B8="Speak"</xm:f>
            <x14:dxf>
              <font>
                <b/>
                <i val="0"/>
                <color rgb="FFFF0000"/>
              </font>
            </x14:dxf>
          </x14:cfRule>
          <xm:sqref>C8</xm:sqref>
        </x14:conditionalFormatting>
        <x14:conditionalFormatting xmlns:xm="http://schemas.microsoft.com/office/excel/2006/main">
          <x14:cfRule type="containsText" priority="18" operator="containsText" text="DB" id="{D162B6CB-5A24-46F2-AFFC-3892065576C1}">
            <xm:f>NOT(ISERROR(SEARCH("DB",'TC1'!E10)))</xm:f>
            <x14:dxf>
              <font>
                <color rgb="FF006100"/>
              </font>
              <fill>
                <patternFill>
                  <bgColor rgb="FFC6EFCE"/>
                </patternFill>
              </fill>
            </x14:dxf>
          </x14:cfRule>
          <x14:cfRule type="containsText" priority="23" operator="containsText" text="WEB SERVICE" id="{8E176BB0-ACB0-47DC-8F7C-DE16E36804C5}">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555" id="{0FBCFE03-A690-4A7B-962E-C82EF588F255}">
            <xm:f>'TC1'!$B14="HANGUP"</xm:f>
            <x14:dxf>
              <font>
                <b/>
                <i val="0"/>
              </font>
            </x14:dxf>
          </x14:cfRule>
          <x14:cfRule type="expression" priority="1556" id="{5872C411-63B7-42EE-9449-714E7B50C9F6}">
            <xm:f>'TC1'!$B14="Dial"</xm:f>
            <x14:dxf>
              <font>
                <b/>
                <i val="0"/>
                <color rgb="FFFF0000"/>
              </font>
            </x14:dxf>
          </x14:cfRule>
          <xm:sqref>C30:C33</xm:sqref>
        </x14:conditionalFormatting>
        <x14:conditionalFormatting xmlns:xm="http://schemas.microsoft.com/office/excel/2006/main">
          <x14:cfRule type="expression" priority="1557" id="{0FBCFE03-A690-4A7B-962E-C82EF588F255}">
            <xm:f>'TC1'!#REF!="HANGUP"</xm:f>
            <x14:dxf>
              <font>
                <b/>
                <i val="0"/>
              </font>
            </x14:dxf>
          </x14:cfRule>
          <x14:cfRule type="expression" priority="1558" id="{5872C411-63B7-42EE-9449-714E7B50C9F6}">
            <xm:f>'TC1'!#REF!="Dial"</xm:f>
            <x14:dxf>
              <font>
                <b/>
                <i val="0"/>
                <color rgb="FFFF0000"/>
              </font>
            </x14:dxf>
          </x14:cfRule>
          <xm:sqref>C13:C15 C17 C19:C29</xm:sqref>
        </x14:conditionalFormatting>
        <x14:conditionalFormatting xmlns:xm="http://schemas.microsoft.com/office/excel/2006/main">
          <x14:cfRule type="expression" priority="1562" id="{0D79EABC-446A-4D0C-A0E9-18C4B8D83550}">
            <xm:f>'TC1'!$B14="Speak"</xm:f>
            <x14:dxf>
              <font>
                <b/>
                <i val="0"/>
                <color rgb="FFFF0000"/>
              </font>
            </x14:dxf>
          </x14:cfRule>
          <xm:sqref>C30:C33</xm:sqref>
        </x14:conditionalFormatting>
        <x14:conditionalFormatting xmlns:xm="http://schemas.microsoft.com/office/excel/2006/main">
          <x14:cfRule type="expression" priority="1563" id="{0D79EABC-446A-4D0C-A0E9-18C4B8D83550}">
            <xm:f>'TC1'!#REF!="Speak"</xm:f>
            <x14:dxf>
              <font>
                <b/>
                <i val="0"/>
                <color rgb="FFFF0000"/>
              </font>
            </x14:dxf>
          </x14:cfRule>
          <xm:sqref>C13:C15 C17 C19:C29</xm:sqref>
        </x14:conditionalFormatting>
        <x14:conditionalFormatting xmlns:xm="http://schemas.microsoft.com/office/excel/2006/main">
          <x14:cfRule type="containsText" priority="1567" operator="containsText" text="DB" id="{D162B6CB-5A24-46F2-AFFC-3892065576C1}">
            <xm:f>NOT(ISERROR(SEARCH("DB",'TC1'!E14)))</xm:f>
            <x14:dxf>
              <font>
                <color rgb="FF006100"/>
              </font>
              <fill>
                <patternFill>
                  <bgColor rgb="FFC6EFCE"/>
                </patternFill>
              </fill>
            </x14:dxf>
          </x14:cfRule>
          <x14:cfRule type="containsText" priority="1568" operator="containsText" text="WEB SERVICE" id="{8E176BB0-ACB0-47DC-8F7C-DE16E36804C5}">
            <xm:f>NOT(ISERROR(SEARCH("WEB SERVICE",'TC1'!E14)))</xm:f>
            <x14:dxf>
              <font>
                <color rgb="FF9C0006"/>
              </font>
              <fill>
                <patternFill>
                  <bgColor rgb="FFFFC7CE"/>
                </patternFill>
              </fill>
            </x14:dxf>
          </x14:cfRule>
          <xm:sqref>E30:E33</xm:sqref>
        </x14:conditionalFormatting>
        <x14:conditionalFormatting xmlns:xm="http://schemas.microsoft.com/office/excel/2006/main">
          <x14:cfRule type="containsText" priority="1569" operator="containsText" text="DB" id="{D162B6CB-5A24-46F2-AFFC-3892065576C1}">
            <xm:f>NOT(ISERROR(SEARCH("DB",'TC1'!#REF!)))</xm:f>
            <x14:dxf>
              <font>
                <color rgb="FF006100"/>
              </font>
              <fill>
                <patternFill>
                  <bgColor rgb="FFC6EFCE"/>
                </patternFill>
              </fill>
            </x14:dxf>
          </x14:cfRule>
          <x14:cfRule type="containsText" priority="1570" operator="containsText" text="WEB SERVICE" id="{8E176BB0-ACB0-47DC-8F7C-DE16E36804C5}">
            <xm:f>NOT(ISERROR(SEARCH("WEB SERVICE",'TC1'!#REF!)))</xm:f>
            <x14:dxf>
              <font>
                <color rgb="FF9C0006"/>
              </font>
              <fill>
                <patternFill>
                  <bgColor rgb="FFFFC7CE"/>
                </patternFill>
              </fill>
            </x14:dxf>
          </x14:cfRule>
          <xm:sqref>E13:E29</xm:sqref>
        </x14:conditionalFormatting>
        <x14:conditionalFormatting xmlns:xm="http://schemas.microsoft.com/office/excel/2006/main">
          <x14:cfRule type="expression" priority="3879" id="{0FBCFE03-A690-4A7B-962E-C82EF588F255}">
            <xm:f>'TC1'!$B10="HANGUP"</xm:f>
            <x14:dxf>
              <font>
                <b/>
                <i val="0"/>
              </font>
            </x14:dxf>
          </x14:cfRule>
          <x14:cfRule type="expression" priority="3880" id="{5872C411-63B7-42EE-9449-714E7B50C9F6}">
            <xm:f>'TC1'!$B10="Dial"</xm:f>
            <x14:dxf>
              <font>
                <b/>
                <i val="0"/>
                <color rgb="FFFF0000"/>
              </font>
            </x14:dxf>
          </x14:cfRule>
          <xm:sqref>C9:C12</xm:sqref>
        </x14:conditionalFormatting>
        <x14:conditionalFormatting xmlns:xm="http://schemas.microsoft.com/office/excel/2006/main">
          <x14:cfRule type="expression" priority="3882" id="{0D79EABC-446A-4D0C-A0E9-18C4B8D83550}">
            <xm:f>'TC1'!$B10="Speak"</xm:f>
            <x14:dxf>
              <font>
                <b/>
                <i val="0"/>
                <color rgb="FFFF0000"/>
              </font>
            </x14:dxf>
          </x14:cfRule>
          <xm:sqref>C9:C12</xm:sqref>
        </x14:conditionalFormatting>
        <x14:conditionalFormatting xmlns:xm="http://schemas.microsoft.com/office/excel/2006/main">
          <x14:cfRule type="expression" priority="6" id="{5464F1A4-4B20-4294-BCF8-B1369C135D89}">
            <xm:f>'\Users\deannah\Wyndham Testing\[Wyndham Destinations_TestCaseOverview_V3_Template.xlsx]TC1'!#REF!="HANGUP"</xm:f>
            <x14:dxf>
              <font>
                <b/>
                <i val="0"/>
              </font>
            </x14:dxf>
          </x14:cfRule>
          <x14:cfRule type="expression" priority="7" id="{284418C1-3712-4DC8-BE0D-E2DC9E07A02A}">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8" id="{ED8AAF64-6BE2-4DC1-B307-3328F0B55F93}">
            <xm:f>'\Users\deannah\Wyndham Testing\[Wyndham Destinations_TestCaseOverview_V3_Template.xlsx]TC1'!#REF!="Speak"</xm:f>
            <x14:dxf>
              <font>
                <b/>
                <i val="0"/>
                <color rgb="FFFF0000"/>
              </font>
            </x14:dxf>
          </x14:cfRule>
          <xm:sqref>C18</xm:sqref>
        </x14:conditionalFormatting>
        <x14:conditionalFormatting xmlns:xm="http://schemas.microsoft.com/office/excel/2006/main">
          <x14:cfRule type="expression" priority="3" id="{D63291FC-91C6-4F28-A146-D9060C9DD019}">
            <xm:f>'\Users\deannah\Wyndham Testing\[Wyndham Destinations_TestCaseOverview_V3_Template.xlsx]TC1'!#REF!="HANGUP"</xm:f>
            <x14:dxf>
              <font>
                <b/>
                <i val="0"/>
              </font>
            </x14:dxf>
          </x14:cfRule>
          <x14:cfRule type="expression" priority="4" id="{2EA56C42-086D-4CF2-A21F-8DBDB4C83643}">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5" id="{79012E31-3C3F-462F-990B-F2BB9B6C3402}">
            <xm:f>'\Users\deannah\Wyndham Testing\[Wyndham Destinations_TestCaseOverview_V3_Template.xlsx]TC1'!#REF!="Speak"</xm:f>
            <x14:dxf>
              <font>
                <b/>
                <i val="0"/>
                <color rgb="FFFF0000"/>
              </font>
            </x14:dxf>
          </x14:cfRule>
          <xm:sqref>C16</xm:sqref>
        </x14:conditionalFormatting>
      </x14:conditionalFormatting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7"/>
  <dimension ref="A1:E24"/>
  <sheetViews>
    <sheetView zoomScaleNormal="100" workbookViewId="0">
      <selection activeCell="D9" sqref="D9:D19"/>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TC65</v>
      </c>
      <c r="C2" s="94"/>
      <c r="D2" s="107"/>
      <c r="E2" s="93"/>
    </row>
    <row r="3" spans="1:5">
      <c r="A3" s="100" t="s">
        <v>19</v>
      </c>
      <c r="B3" s="108">
        <f ca="1">VLOOKUP(B2,Table1[#All],2,FALSE)</f>
        <v>0</v>
      </c>
      <c r="C3" s="94"/>
      <c r="D3" s="107"/>
      <c r="E3" s="93"/>
    </row>
    <row r="4" spans="1:5" ht="60">
      <c r="A4" s="109" t="s">
        <v>20</v>
      </c>
      <c r="B4" s="95" t="str">
        <f ca="1">VLOOKUP(B2,Table1[#All],4,FALSE)</f>
        <v>serviceType=RequestDocs, 1098 msg not active, cancellation ltr status Cancelled=Yes, Say YES to send ltr to address on file. OFS07 returns success</v>
      </c>
      <c r="C4" s="94"/>
      <c r="D4" s="107"/>
      <c r="E4" s="93"/>
    </row>
    <row r="5" spans="1:5" ht="75">
      <c r="A5" s="100" t="s">
        <v>6</v>
      </c>
      <c r="B5" s="89" t="str">
        <f ca="1">VLOOKUP(B2,Table1[#All],3,FALSE)</f>
        <v>CallStart Main Menu/Pmts and Statements/request doc/ serviceType=requestDocs/ID Auth/ID Auth True,Finance Exception code=else/Say cancellation letter/HU at Wrap menu</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VLOOKUP(Table25755252691013434446474849565758596315181719224566677172737476777879939495100104109111113115117[[#This Row],[PEG]],Table1016[#All],2,FALSE)</f>
        <v>CallID.wav Call ID &lt;CallID&gt;</v>
      </c>
      <c r="D9" s="149" t="s">
        <v>477</v>
      </c>
      <c r="E9" s="122" t="str">
        <f>VLOOKUP(Table25755252691013434446474849565758596315181719224566677172737476777879939495100104109111113115117[[#This Row],[PEG]],Table1016[#All],3,FALSE)</f>
        <v>TEST</v>
      </c>
    </row>
    <row r="10" spans="1:5" ht="30">
      <c r="A10" s="114">
        <v>3</v>
      </c>
      <c r="B10" s="110" t="s">
        <v>115</v>
      </c>
      <c r="C10" s="105" t="str">
        <f>VLOOKUP(Table25755252691013434446474849565758596315181719224566677172737476777879939495100104109111113115117[[#This Row],[PEG]],Table1016[#All],2,FALSE)</f>
        <v>0100.wav Thank you for calling Shell vacations Club, we are glad you called. Please have your account number available for faster service. [To continue in Spanish, press 9]</v>
      </c>
      <c r="D10" s="149">
        <v>100</v>
      </c>
      <c r="E10" s="122" t="str">
        <f>VLOOKUP(Table25755252691013434446474849565758596315181719224566677172737476777879939495100104109111113115117[[#This Row],[PEG]],Table1016[#All],3,FALSE)</f>
        <v>PLAY PROMPT</v>
      </c>
    </row>
    <row r="11" spans="1:5" ht="30">
      <c r="A11" s="114">
        <v>4</v>
      </c>
      <c r="B11" s="110" t="s">
        <v>115</v>
      </c>
      <c r="C11" s="105" t="str">
        <f>VLOOKUP(Table25755252691013434446474849565758596315181719224566677172737476777879939495100104109111113115117[[#This Row],[PEG]],Table1016[#All],2,FALSE)</f>
        <v>0110-1.wav Which would you like? You can say... reservations, payments &amp; statements, title &amp; ownership changes, or more options.</v>
      </c>
      <c r="D11" s="149">
        <v>110</v>
      </c>
      <c r="E11" s="122" t="str">
        <f>VLOOKUP(Table25755252691013434446474849565758596315181719224566677172737476777879939495100104109111113115117[[#This Row],[PEG]],Table1016[#All],3,FALSE)</f>
        <v>MENU PROMPT</v>
      </c>
    </row>
    <row r="12" spans="1:5">
      <c r="A12" s="114">
        <v>5</v>
      </c>
      <c r="B12" s="110" t="s">
        <v>124</v>
      </c>
      <c r="C12" s="158" t="s">
        <v>565</v>
      </c>
      <c r="D12" s="149"/>
      <c r="E12" s="122" t="e">
        <f>VLOOKUP(Table25755252691013434446474849565758596315181719224566677172737476777879939495100104109111113115117[[#This Row],[PEG]],Table1016[#All],3,FALSE)</f>
        <v>#N/A</v>
      </c>
    </row>
    <row r="13" spans="1:5" ht="30">
      <c r="A13" s="114">
        <v>6</v>
      </c>
      <c r="B13" s="110" t="s">
        <v>115</v>
      </c>
      <c r="C13" s="105" t="str">
        <f>VLOOKUP(Table25755252691013434446474849565758596315181719224566677172737476777879939495100104109111113115117[[#This Row],[PEG]],Table1016[#All],2,FALSE)</f>
        <v>400.wav You can say make a payment, check account status, request a document, or more options. Which would you like?</v>
      </c>
      <c r="D13" s="149">
        <v>400</v>
      </c>
      <c r="E13" s="122" t="str">
        <f>VLOOKUP(Table25755252691013434446474849565758596315181719224566677172737476777879939495100104109111113115117[[#This Row],[PEG]],Table1016[#All],3,FALSE)</f>
        <v>MENU PROMPT</v>
      </c>
    </row>
    <row r="14" spans="1:5">
      <c r="A14" s="114">
        <v>7</v>
      </c>
      <c r="B14" s="110" t="s">
        <v>124</v>
      </c>
      <c r="C14" s="151" t="s">
        <v>604</v>
      </c>
      <c r="D14" s="125"/>
      <c r="E14" s="122" t="e">
        <f>VLOOKUP(Table25755252691013434446474849565758596315181719224566677172737476777879939495100104109111113115117[[#This Row],[PEG]],Table1016[#All],3,FALSE)</f>
        <v>#N/A</v>
      </c>
    </row>
    <row r="15" spans="1:5">
      <c r="A15" s="114">
        <v>8</v>
      </c>
      <c r="B15" s="110" t="s">
        <v>115</v>
      </c>
      <c r="C15" s="105" t="str">
        <f>VLOOKUP(Table25755252691013434446474849565758596315181719224566677172737476777879939495100104109111113115117[[#This Row],[PEG]],Table1016[#All],2,FALSE)</f>
        <v>0200-1.wav To get started, what is your account number?</v>
      </c>
      <c r="D15" s="112">
        <v>200</v>
      </c>
      <c r="E15" s="122" t="str">
        <f>VLOOKUP(Table25755252691013434446474849565758596315181719224566677172737476777879939495100104109111113115117[[#This Row],[PEG]],Table1016[#All],3,FALSE)</f>
        <v>MENU PROMPT</v>
      </c>
    </row>
    <row r="16" spans="1:5">
      <c r="A16" s="114">
        <v>9</v>
      </c>
      <c r="B16" s="110" t="s">
        <v>114</v>
      </c>
      <c r="C16" s="151" t="s">
        <v>515</v>
      </c>
      <c r="D16" s="112"/>
      <c r="E16" s="122" t="e">
        <f>VLOOKUP(Table25755252691013434446474849565758596315181719224566677172737476777879939495100104109111113115117[[#This Row],[PEG]],Table1016[#All],3,FALSE)</f>
        <v>#N/A</v>
      </c>
    </row>
    <row r="17" spans="1:5">
      <c r="A17" s="114">
        <v>10</v>
      </c>
      <c r="B17" s="110" t="s">
        <v>12</v>
      </c>
      <c r="C17" s="105" t="str">
        <f>VLOOKUP(Table25755252691013434446474849565758596315181719224566677172737476777879939495100104109111113115117[[#This Row],[PEG]],Table1016[#All],2,FALSE)</f>
        <v>0210-1.wav And the date of birth for the primary owner?</v>
      </c>
      <c r="D17" s="113">
        <v>210</v>
      </c>
      <c r="E17" s="122" t="str">
        <f>VLOOKUP(Table25755252691013434446474849565758596315181719224566677172737476777879939495100104109111113115117[[#This Row],[PEG]],Table1016[#All],3,FALSE)</f>
        <v>MENU PROMPT</v>
      </c>
    </row>
    <row r="18" spans="1:5">
      <c r="A18" s="114">
        <v>11</v>
      </c>
      <c r="B18" s="110" t="s">
        <v>124</v>
      </c>
      <c r="C18" s="151" t="s">
        <v>524</v>
      </c>
      <c r="D18" s="113"/>
      <c r="E18" s="122" t="e">
        <f>VLOOKUP(Table25755252691013434446474849565758596315181719224566677172737476777879939495100104109111113115117[[#This Row],[PEG]],Table1016[#All],3,FALSE)</f>
        <v>#N/A</v>
      </c>
    </row>
    <row r="19" spans="1:5" ht="30">
      <c r="A19" s="114">
        <v>12</v>
      </c>
      <c r="B19" s="110" t="s">
        <v>115</v>
      </c>
      <c r="C19" s="105" t="str">
        <f>VLOOKUP(Table25755252691013434446474849565758596315181719224566677172737476777879939495100104109111113115117[[#This Row],[PEG]],Table1016[#All],2,FALSE)</f>
        <v xml:space="preserve">0470.wav Which document would you like? You can say pay-off quote, statements, cancellation letter or tax documents. </v>
      </c>
      <c r="D19" s="113">
        <v>470</v>
      </c>
      <c r="E19" s="122" t="str">
        <f>VLOOKUP(Table25755252691013434446474849565758596315181719224566677172737476777879939495100104109111113115117[[#This Row],[PEG]],Table1016[#All],3,FALSE)</f>
        <v>MENU PROMPT</v>
      </c>
    </row>
    <row r="20" spans="1:5">
      <c r="A20" s="114">
        <v>13</v>
      </c>
      <c r="B20" s="110" t="s">
        <v>124</v>
      </c>
      <c r="C20" s="151" t="s">
        <v>605</v>
      </c>
      <c r="D20" s="113"/>
      <c r="E20" s="122" t="e">
        <f>VLOOKUP(Table25755252691013434446474849565758596315181719224566677172737476777879939495100104109111113115117[[#This Row],[PEG]],Table1016[#All],3,FALSE)</f>
        <v>#N/A</v>
      </c>
    </row>
    <row r="21" spans="1:5">
      <c r="A21" s="114">
        <v>14</v>
      </c>
      <c r="B21" s="110" t="s">
        <v>115</v>
      </c>
      <c r="C21" s="105" t="str">
        <f>VLOOKUP(Table25755252691013434446474849565758596315181719224566677172737476777879939495100104109111113115117[[#This Row],[PEG]],Table1016[#All],2,FALSE)</f>
        <v>0475.wav Would you like me to send a copy of your cancellation letter to the address on file?</v>
      </c>
      <c r="D21" s="113">
        <v>475</v>
      </c>
      <c r="E21" s="122" t="str">
        <f>VLOOKUP(Table25755252691013434446474849565758596315181719224566677172737476777879939495100104109111113115117[[#This Row],[PEG]],Table1016[#All],3,FALSE)</f>
        <v>MENU PROMPT</v>
      </c>
    </row>
    <row r="22" spans="1:5">
      <c r="A22" s="114">
        <v>15</v>
      </c>
      <c r="B22" s="110" t="s">
        <v>124</v>
      </c>
      <c r="C22" s="151" t="s">
        <v>582</v>
      </c>
      <c r="D22" s="113"/>
      <c r="E22" s="122" t="e">
        <f>VLOOKUP(Table25755252691013434446474849565758596315181719224566677172737476777879939495100104109111113115117[[#This Row],[PEG]],Table1016[#All],3,FALSE)</f>
        <v>#N/A</v>
      </c>
    </row>
    <row r="23" spans="1:5" ht="30">
      <c r="A23" s="114">
        <v>16</v>
      </c>
      <c r="B23" s="110" t="s">
        <v>115</v>
      </c>
      <c r="C23" s="105" t="str">
        <f>VLOOKUP(Table25755252691013434446474849565758596315181719224566677172737476777879939495100104109111113115117[[#This Row],[PEG]],Table1016[#All],2,FALSE)</f>
        <v>0920.wav I've processed your request. Is there anything else I can help you with today? You can say main menu or simply hang up.</v>
      </c>
      <c r="D23" s="113">
        <v>920</v>
      </c>
      <c r="E23" s="122" t="str">
        <f>VLOOKUP(Table25755252691013434446474849565758596315181719224566677172737476777879939495100104109111113115117[[#This Row],[PEG]],Table1016[#All],3,FALSE)</f>
        <v>MENU PROMPT</v>
      </c>
    </row>
    <row r="24" spans="1:5">
      <c r="A24" s="114">
        <v>17</v>
      </c>
      <c r="B24" s="110" t="s">
        <v>13</v>
      </c>
      <c r="C24" s="17" t="s">
        <v>13</v>
      </c>
      <c r="D24" s="111"/>
      <c r="E24" s="31"/>
    </row>
  </sheetData>
  <mergeCells count="1">
    <mergeCell ref="A1:B1"/>
  </mergeCells>
  <conditionalFormatting sqref="B8">
    <cfRule type="containsText" dxfId="4549" priority="8" operator="containsText" text="Hear">
      <formula>NOT(ISERROR(SEARCH("Hear",B8)))</formula>
    </cfRule>
  </conditionalFormatting>
  <conditionalFormatting sqref="B20:B24">
    <cfRule type="containsText" dxfId="4548" priority="14" operator="containsText" text="Hear">
      <formula>NOT(ISERROR(SEARCH("Hear",B20)))</formula>
    </cfRule>
  </conditionalFormatting>
  <conditionalFormatting sqref="E24">
    <cfRule type="containsText" dxfId="4547" priority="12" operator="containsText" text="WEB SERVICE">
      <formula>NOT(ISERROR(SEARCH("WEB SERVICE",E24)))</formula>
    </cfRule>
    <cfRule type="containsText" dxfId="4546" priority="13" operator="containsText" text="DB">
      <formula>NOT(ISERROR(SEARCH("DB",E24)))</formula>
    </cfRule>
  </conditionalFormatting>
  <conditionalFormatting sqref="C24">
    <cfRule type="expression" dxfId="4545" priority="15">
      <formula>$B24="Dial"</formula>
    </cfRule>
    <cfRule type="expression" dxfId="4544" priority="17">
      <formula>$B24="HANGUP"</formula>
    </cfRule>
  </conditionalFormatting>
  <conditionalFormatting sqref="C24">
    <cfRule type="expression" dxfId="4543" priority="9">
      <formula>$B24="Speak"</formula>
    </cfRule>
  </conditionalFormatting>
  <conditionalFormatting sqref="B9:B19">
    <cfRule type="containsText" dxfId="4542" priority="7" operator="containsText" text="Hear">
      <formula>NOT(ISERROR(SEARCH("Hear",B9)))</formula>
    </cfRule>
  </conditionalFormatting>
  <hyperlinks>
    <hyperlink ref="A1" location="'Test Case Overview'!A1" display="Return to Test Case Overview" xr:uid="{00000000-0004-0000-41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8" id="{0C5BD56C-EE6D-4141-98E2-FB847985A393}">
            <xm:f>'TC1'!$B8="HANGUP"</xm:f>
            <x14:dxf>
              <font>
                <b/>
                <i val="0"/>
              </font>
            </x14:dxf>
          </x14:cfRule>
          <x14:cfRule type="expression" priority="19" id="{E7625D04-8B2D-407C-B0F2-E0FFDEAA712D}">
            <xm:f>'TC1'!$B8="Dial"</xm:f>
            <x14:dxf>
              <font>
                <b/>
                <i val="0"/>
                <color rgb="FFFF0000"/>
              </font>
            </x14:dxf>
          </x14:cfRule>
          <xm:sqref>C8</xm:sqref>
        </x14:conditionalFormatting>
        <x14:conditionalFormatting xmlns:xm="http://schemas.microsoft.com/office/excel/2006/main">
          <x14:cfRule type="expression" priority="20" id="{902BA03D-A3E7-44B7-B5B2-7161B9F77BF8}">
            <xm:f>'TC1'!$B8="Speak"</xm:f>
            <x14:dxf>
              <font>
                <b/>
                <i val="0"/>
                <color rgb="FFFF0000"/>
              </font>
            </x14:dxf>
          </x14:cfRule>
          <xm:sqref>C8</xm:sqref>
        </x14:conditionalFormatting>
        <x14:conditionalFormatting xmlns:xm="http://schemas.microsoft.com/office/excel/2006/main">
          <x14:cfRule type="containsText" priority="16" operator="containsText" text="DB" id="{11842E06-8CD3-4A94-ACED-05264087A688}">
            <xm:f>NOT(ISERROR(SEARCH("DB",'TC1'!E10)))</xm:f>
            <x14:dxf>
              <font>
                <color rgb="FF006100"/>
              </font>
              <fill>
                <patternFill>
                  <bgColor rgb="FFC6EFCE"/>
                </patternFill>
              </fill>
            </x14:dxf>
          </x14:cfRule>
          <x14:cfRule type="containsText" priority="21" operator="containsText" text="WEB SERVICE" id="{076DC679-3D31-4698-A530-C79E8EEE2D0A}">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575" id="{0C5BD56C-EE6D-4141-98E2-FB847985A393}">
            <xm:f>'TC1'!#REF!="HANGUP"</xm:f>
            <x14:dxf>
              <font>
                <b/>
                <i val="0"/>
              </font>
            </x14:dxf>
          </x14:cfRule>
          <x14:cfRule type="expression" priority="1576" id="{E7625D04-8B2D-407C-B0F2-E0FFDEAA712D}">
            <xm:f>'TC1'!#REF!="Dial"</xm:f>
            <x14:dxf>
              <font>
                <b/>
                <i val="0"/>
                <color rgb="FFFF0000"/>
              </font>
            </x14:dxf>
          </x14:cfRule>
          <xm:sqref>C13:C15 C17 C19:C23</xm:sqref>
        </x14:conditionalFormatting>
        <x14:conditionalFormatting xmlns:xm="http://schemas.microsoft.com/office/excel/2006/main">
          <x14:cfRule type="expression" priority="1581" id="{902BA03D-A3E7-44B7-B5B2-7161B9F77BF8}">
            <xm:f>'TC1'!#REF!="Speak"</xm:f>
            <x14:dxf>
              <font>
                <b/>
                <i val="0"/>
                <color rgb="FFFF0000"/>
              </font>
            </x14:dxf>
          </x14:cfRule>
          <xm:sqref>C13:C15 C17 C19:C23</xm:sqref>
        </x14:conditionalFormatting>
        <x14:conditionalFormatting xmlns:xm="http://schemas.microsoft.com/office/excel/2006/main">
          <x14:cfRule type="containsText" priority="1587" operator="containsText" text="DB" id="{11842E06-8CD3-4A94-ACED-05264087A688}">
            <xm:f>NOT(ISERROR(SEARCH("DB",'TC1'!#REF!)))</xm:f>
            <x14:dxf>
              <font>
                <color rgb="FF006100"/>
              </font>
              <fill>
                <patternFill>
                  <bgColor rgb="FFC6EFCE"/>
                </patternFill>
              </fill>
            </x14:dxf>
          </x14:cfRule>
          <x14:cfRule type="containsText" priority="1588" operator="containsText" text="WEB SERVICE" id="{076DC679-3D31-4698-A530-C79E8EEE2D0A}">
            <xm:f>NOT(ISERROR(SEARCH("WEB SERVICE",'TC1'!#REF!)))</xm:f>
            <x14:dxf>
              <font>
                <color rgb="FF9C0006"/>
              </font>
              <fill>
                <patternFill>
                  <bgColor rgb="FFFFC7CE"/>
                </patternFill>
              </fill>
            </x14:dxf>
          </x14:cfRule>
          <xm:sqref>E13:E23</xm:sqref>
        </x14:conditionalFormatting>
        <x14:conditionalFormatting xmlns:xm="http://schemas.microsoft.com/office/excel/2006/main">
          <x14:cfRule type="expression" priority="3885" id="{0C5BD56C-EE6D-4141-98E2-FB847985A393}">
            <xm:f>'TC1'!$B10="HANGUP"</xm:f>
            <x14:dxf>
              <font>
                <b/>
                <i val="0"/>
              </font>
            </x14:dxf>
          </x14:cfRule>
          <x14:cfRule type="expression" priority="3886" id="{E7625D04-8B2D-407C-B0F2-E0FFDEAA712D}">
            <xm:f>'TC1'!$B10="Dial"</xm:f>
            <x14:dxf>
              <font>
                <b/>
                <i val="0"/>
                <color rgb="FFFF0000"/>
              </font>
            </x14:dxf>
          </x14:cfRule>
          <xm:sqref>C9:C12</xm:sqref>
        </x14:conditionalFormatting>
        <x14:conditionalFormatting xmlns:xm="http://schemas.microsoft.com/office/excel/2006/main">
          <x14:cfRule type="expression" priority="3888" id="{902BA03D-A3E7-44B7-B5B2-7161B9F77BF8}">
            <xm:f>'TC1'!$B10="Speak"</xm:f>
            <x14:dxf>
              <font>
                <b/>
                <i val="0"/>
                <color rgb="FFFF0000"/>
              </font>
            </x14:dxf>
          </x14:cfRule>
          <xm:sqref>C9:C12</xm:sqref>
        </x14:conditionalFormatting>
        <x14:conditionalFormatting xmlns:xm="http://schemas.microsoft.com/office/excel/2006/main">
          <x14:cfRule type="expression" priority="4" id="{DDCDA5F2-6A33-42C7-950A-0DA647AB7472}">
            <xm:f>'\Users\deannah\Wyndham Testing\[Wyndham Destinations_TestCaseOverview_V3_Template.xlsx]TC1'!#REF!="HANGUP"</xm:f>
            <x14:dxf>
              <font>
                <b/>
                <i val="0"/>
              </font>
            </x14:dxf>
          </x14:cfRule>
          <x14:cfRule type="expression" priority="5" id="{6A433F05-2D10-425D-8E1F-70C916816099}">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6" id="{8D573708-7034-41D5-9C3A-C977E245619D}">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1" id="{997BCC20-24C3-4EEA-8FB5-2921A97AA0F4}">
            <xm:f>'\Users\deannah\Wyndham Testing\[Wyndham Destinations_TestCaseOverview_V3_Template.xlsx]TC1'!#REF!="HANGUP"</xm:f>
            <x14:dxf>
              <font>
                <b/>
                <i val="0"/>
              </font>
            </x14:dxf>
          </x14:cfRule>
          <x14:cfRule type="expression" priority="2" id="{824575C5-4C0E-4D3A-AFCB-C33702576945}">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3" id="{ACBB9774-23F3-4CE9-9531-F859F09AAECC}">
            <xm:f>'\Users\deannah\Wyndham Testing\[Wyndham Destinations_TestCaseOverview_V3_Template.xlsx]TC1'!#REF!="Speak"</xm:f>
            <x14:dxf>
              <font>
                <b/>
                <i val="0"/>
                <color rgb="FFFF0000"/>
              </font>
            </x14:dxf>
          </x14:cfRule>
          <xm:sqref>C18</xm:sqref>
        </x14:conditionalFormatting>
      </x14:conditionalFormatting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8"/>
  <dimension ref="A1:E19"/>
  <sheetViews>
    <sheetView zoomScaleNormal="100" workbookViewId="0">
      <selection activeCell="C23" sqref="C23"/>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TC66</v>
      </c>
      <c r="C2" s="94"/>
      <c r="D2" s="107"/>
      <c r="E2" s="93"/>
    </row>
    <row r="3" spans="1:5">
      <c r="A3" s="100" t="s">
        <v>19</v>
      </c>
      <c r="B3" s="108">
        <f ca="1">VLOOKUP(B2,Table1[#All],2,FALSE)</f>
        <v>0</v>
      </c>
      <c r="C3" s="94"/>
      <c r="D3" s="107"/>
      <c r="E3" s="93"/>
    </row>
    <row r="4" spans="1:5" ht="30">
      <c r="A4" s="109" t="s">
        <v>20</v>
      </c>
      <c r="B4" s="95">
        <f ca="1">VLOOKUP(B2,Table1[#All],4,FALSE)</f>
        <v>0</v>
      </c>
      <c r="C4" s="94"/>
      <c r="D4" s="107"/>
      <c r="E4" s="93"/>
    </row>
    <row r="5" spans="1:5" ht="30">
      <c r="A5" s="100" t="s">
        <v>6</v>
      </c>
      <c r="B5" s="89" t="str">
        <f ca="1">VLOOKUP(B2,Table1[#All],3,FALSE)</f>
        <v>CallStart Main Menu /Payments /more options/Down Pmt questions</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49"/>
      <c r="E8" s="122" t="s">
        <v>11</v>
      </c>
    </row>
    <row r="9" spans="1:5">
      <c r="A9" s="114">
        <v>2</v>
      </c>
      <c r="B9" s="110" t="s">
        <v>115</v>
      </c>
      <c r="C9" s="105" t="str">
        <f>VLOOKUP(Table25755252691013434446474849565758596315181719224566677172737476777879939495100104109111113115117119[[#This Row],[PEG]],Table1016[#All],2,FALSE)</f>
        <v>CallID.wav Call ID &lt;CallID&gt;</v>
      </c>
      <c r="D9" s="149" t="s">
        <v>477</v>
      </c>
      <c r="E9" s="122" t="str">
        <f>VLOOKUP(Table25755252691013434446474849565758596315181719224566677172737476777879939495100104109111113115117119[[#This Row],[PEG]],Table1016[#All],3,FALSE)</f>
        <v>TEST</v>
      </c>
    </row>
    <row r="10" spans="1:5" ht="30">
      <c r="A10" s="114">
        <v>3</v>
      </c>
      <c r="B10" s="110" t="s">
        <v>115</v>
      </c>
      <c r="C10" s="105" t="str">
        <f>VLOOKUP(Table25755252691013434446474849565758596315181719224566677172737476777879939495100104109111113115117119[[#This Row],[PEG]],Table1016[#All],2,FALSE)</f>
        <v>0100.wav Thank you for calling Shell vacations Club, we are glad you called. Please have your account number available for faster service. [To continue in Spanish, press 9]</v>
      </c>
      <c r="D10" s="149">
        <v>100</v>
      </c>
      <c r="E10" s="122" t="str">
        <f>VLOOKUP(Table25755252691013434446474849565758596315181719224566677172737476777879939495100104109111113115117119[[#This Row],[PEG]],Table1016[#All],3,FALSE)</f>
        <v>PLAY PROMPT</v>
      </c>
    </row>
    <row r="11" spans="1:5" ht="30">
      <c r="A11" s="114">
        <v>4</v>
      </c>
      <c r="B11" s="110" t="s">
        <v>115</v>
      </c>
      <c r="C11" s="105" t="str">
        <f>VLOOKUP(Table25755252691013434446474849565758596315181719224566677172737476777879939495100104109111113115117119[[#This Row],[PEG]],Table1016[#All],2,FALSE)</f>
        <v>0110-1.wav Which would you like? You can say... reservations, payments &amp; statements, title &amp; ownership changes, or more options.</v>
      </c>
      <c r="D11" s="149">
        <v>110</v>
      </c>
      <c r="E11" s="122" t="str">
        <f>VLOOKUP(Table25755252691013434446474849565758596315181719224566677172737476777879939495100104109111113115117119[[#This Row],[PEG]],Table1016[#All],3,FALSE)</f>
        <v>MENU PROMPT</v>
      </c>
    </row>
    <row r="12" spans="1:5">
      <c r="A12" s="114">
        <v>5</v>
      </c>
      <c r="B12" s="110" t="s">
        <v>124</v>
      </c>
      <c r="C12" s="158" t="s">
        <v>565</v>
      </c>
      <c r="D12" s="149"/>
      <c r="E12" s="122" t="e">
        <f>VLOOKUP(Table25755252691013434446474849565758596315181719224566677172737476777879939495100104109111113115117119[[#This Row],[PEG]],Table1016[#All],3,FALSE)</f>
        <v>#N/A</v>
      </c>
    </row>
    <row r="13" spans="1:5" ht="30">
      <c r="A13" s="114">
        <v>6</v>
      </c>
      <c r="B13" s="110" t="s">
        <v>115</v>
      </c>
      <c r="C13" s="105" t="str">
        <f>VLOOKUP(Table25755252691013434446474849565758596315181719224566677172737476777879939495100104109111113115117119[[#This Row],[PEG]],Table1016[#All],2,FALSE)</f>
        <v>400.wav You can say make a payment, check account status, request a document, or more options. Which would you like?</v>
      </c>
      <c r="D13" s="149">
        <v>400</v>
      </c>
      <c r="E13" s="122" t="str">
        <f>VLOOKUP(Table25755252691013434446474849565758596315181719224566677172737476777879939495100104109111113115117119[[#This Row],[PEG]],Table1016[#All],3,FALSE)</f>
        <v>MENU PROMPT</v>
      </c>
    </row>
    <row r="14" spans="1:5">
      <c r="A14" s="114">
        <v>7</v>
      </c>
      <c r="B14" s="110" t="s">
        <v>124</v>
      </c>
      <c r="C14" s="105" t="s">
        <v>468</v>
      </c>
      <c r="D14" s="149"/>
      <c r="E14" s="122" t="e">
        <f>VLOOKUP(Table25755252691013434446474849565758596315181719224566677172737476777879939495100104109111113115117119[[#This Row],[PEG]],Table1016[#All],3,FALSE)</f>
        <v>#N/A</v>
      </c>
    </row>
    <row r="15" spans="1:5" ht="30">
      <c r="A15" s="114">
        <v>8</v>
      </c>
      <c r="B15" s="110" t="s">
        <v>115</v>
      </c>
      <c r="C15" s="105" t="str">
        <f>VLOOKUP(Table25755252691013434446474849565758596315181719224566677172737476777879939495100104109111113115117119[[#This Row],[PEG]],Table1016[#All],2,FALSE)</f>
        <v>405.wav You can say Perks by Club Wyndham, mailing address, wire transfer information, down payment questions, or speak to a representative. Which would you like?</v>
      </c>
      <c r="D15" s="112">
        <v>405</v>
      </c>
      <c r="E15" s="122" t="str">
        <f>VLOOKUP(Table25755252691013434446474849565758596315181719224566677172737476777879939495100104109111113115117119[[#This Row],[PEG]],Table1016[#All],3,FALSE)</f>
        <v>MENU PROMPT</v>
      </c>
    </row>
    <row r="16" spans="1:5">
      <c r="A16" s="114">
        <v>9</v>
      </c>
      <c r="B16" s="110" t="s">
        <v>124</v>
      </c>
      <c r="C16" s="151" t="s">
        <v>606</v>
      </c>
      <c r="D16" s="112"/>
      <c r="E16" s="122" t="e">
        <f>VLOOKUP(Table25755252691013434446474849565758596315181719224566677172737476777879939495100104109111113115117119[[#This Row],[PEG]],Table1016[#All],3,FALSE)</f>
        <v>#N/A</v>
      </c>
    </row>
    <row r="17" spans="1:5">
      <c r="A17" s="114">
        <v>10</v>
      </c>
      <c r="B17" s="110" t="s">
        <v>115</v>
      </c>
      <c r="C17" s="105" t="str">
        <f>VLOOKUP(Table25755252691013434446474849565758596315181719224566677172737476777879939495100104109111113115117119[[#This Row],[PEG]],Table1016[#All],2,FALSE)</f>
        <v>0900.wav Please hold, while I connect you to a customer service representative.</v>
      </c>
      <c r="D17" s="113">
        <v>900</v>
      </c>
      <c r="E17" s="122" t="str">
        <f>VLOOKUP(Table25755252691013434446474849565758596315181719224566677172737476777879939495100104109111113115117119[[#This Row],[PEG]],Table1016[#All],3,FALSE)</f>
        <v>PLAY PROMPT</v>
      </c>
    </row>
    <row r="18" spans="1:5">
      <c r="A18" s="114">
        <v>11</v>
      </c>
      <c r="B18" s="110" t="s">
        <v>115</v>
      </c>
      <c r="C18" s="105" t="str">
        <f>VLOOKUP(Table25755252691013434446474849565758596315181719224566677172737476777879939495100104109111113115117119[[#This Row],[PEG]],Table1016[#All],2,FALSE)</f>
        <v>XferNbr.wav Transfer Number &lt;TransferNbr&gt;</v>
      </c>
      <c r="D18" s="113" t="s">
        <v>480</v>
      </c>
      <c r="E18" s="122" t="str">
        <f>VLOOKUP(Table25755252691013434446474849565758596315181719224566677172737476777879939495100104109111113115117119[[#This Row],[PEG]],Table1016[#All],3,FALSE)</f>
        <v>TEST</v>
      </c>
    </row>
    <row r="19" spans="1:5">
      <c r="A19" s="114">
        <v>12</v>
      </c>
      <c r="B19" s="110" t="s">
        <v>13</v>
      </c>
      <c r="C19" s="17" t="s">
        <v>13</v>
      </c>
      <c r="D19" s="111"/>
      <c r="E19" s="31"/>
    </row>
  </sheetData>
  <mergeCells count="1">
    <mergeCell ref="A1:B1"/>
  </mergeCells>
  <conditionalFormatting sqref="B8 B18">
    <cfRule type="containsText" dxfId="4513" priority="2" operator="containsText" text="Hear">
      <formula>NOT(ISERROR(SEARCH("Hear",B8)))</formula>
    </cfRule>
  </conditionalFormatting>
  <conditionalFormatting sqref="B19">
    <cfRule type="containsText" dxfId="4512" priority="8" operator="containsText" text="Hear">
      <formula>NOT(ISERROR(SEARCH("Hear",B19)))</formula>
    </cfRule>
  </conditionalFormatting>
  <conditionalFormatting sqref="E19">
    <cfRule type="containsText" dxfId="4511" priority="6" operator="containsText" text="WEB SERVICE">
      <formula>NOT(ISERROR(SEARCH("WEB SERVICE",E19)))</formula>
    </cfRule>
    <cfRule type="containsText" dxfId="4510" priority="7" operator="containsText" text="DB">
      <formula>NOT(ISERROR(SEARCH("DB",E19)))</formula>
    </cfRule>
  </conditionalFormatting>
  <conditionalFormatting sqref="C19">
    <cfRule type="expression" dxfId="4509" priority="11">
      <formula>$B19="HANGUP"</formula>
    </cfRule>
  </conditionalFormatting>
  <conditionalFormatting sqref="B9:B17">
    <cfRule type="containsText" dxfId="4508" priority="1" operator="containsText" text="Hear">
      <formula>NOT(ISERROR(SEARCH("Hear",B9)))</formula>
    </cfRule>
  </conditionalFormatting>
  <hyperlinks>
    <hyperlink ref="A1" location="'Test Case Overview'!A1" display="Return to Test Case Overview" xr:uid="{00000000-0004-0000-42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2" id="{3686C16D-5CCD-49C1-B5EB-A1E1FDC24C25}">
            <xm:f>'TC1'!$B8="HANGUP"</xm:f>
            <x14:dxf>
              <font>
                <b/>
                <i val="0"/>
              </font>
            </x14:dxf>
          </x14:cfRule>
          <x14:cfRule type="expression" priority="13" id="{53AAEFA6-690C-4C55-AB10-26B430971B7B}">
            <xm:f>'TC1'!$B8="Dial"</xm:f>
            <x14:dxf>
              <font>
                <b/>
                <i val="0"/>
                <color rgb="FFFF0000"/>
              </font>
            </x14:dxf>
          </x14:cfRule>
          <xm:sqref>C8</xm:sqref>
        </x14:conditionalFormatting>
        <x14:conditionalFormatting xmlns:xm="http://schemas.microsoft.com/office/excel/2006/main">
          <x14:cfRule type="expression" priority="14" id="{4C0E73F3-37F3-45B5-93E6-D1F6D5E0EC97}">
            <xm:f>'TC1'!$B8="Speak"</xm:f>
            <x14:dxf>
              <font>
                <b/>
                <i val="0"/>
                <color rgb="FFFF0000"/>
              </font>
            </x14:dxf>
          </x14:cfRule>
          <xm:sqref>C8</xm:sqref>
        </x14:conditionalFormatting>
        <x14:conditionalFormatting xmlns:xm="http://schemas.microsoft.com/office/excel/2006/main">
          <x14:cfRule type="containsText" priority="10" operator="containsText" text="DB" id="{13199334-A07C-4C5D-9702-0259EF9FF61E}">
            <xm:f>NOT(ISERROR(SEARCH("DB",'TC1'!E10)))</xm:f>
            <x14:dxf>
              <font>
                <color rgb="FF006100"/>
              </font>
              <fill>
                <patternFill>
                  <bgColor rgb="FFC6EFCE"/>
                </patternFill>
              </fill>
            </x14:dxf>
          </x14:cfRule>
          <x14:cfRule type="containsText" priority="15" operator="containsText" text="WEB SERVICE" id="{E7C4FA83-E048-40C4-9466-92A6BB8E3F78}">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589" id="{3686C16D-5CCD-49C1-B5EB-A1E1FDC24C25}">
            <xm:f>'TC1'!#REF!="HANGUP"</xm:f>
            <x14:dxf>
              <font>
                <b/>
                <i val="0"/>
              </font>
            </x14:dxf>
          </x14:cfRule>
          <x14:cfRule type="expression" priority="1590" id="{53AAEFA6-690C-4C55-AB10-26B430971B7B}">
            <xm:f>'TC1'!#REF!="Dial"</xm:f>
            <x14:dxf>
              <font>
                <b/>
                <i val="0"/>
                <color rgb="FFFF0000"/>
              </font>
            </x14:dxf>
          </x14:cfRule>
          <xm:sqref>C13:C18</xm:sqref>
        </x14:conditionalFormatting>
        <x14:conditionalFormatting xmlns:xm="http://schemas.microsoft.com/office/excel/2006/main">
          <x14:cfRule type="expression" priority="1595" id="{4C0E73F3-37F3-45B5-93E6-D1F6D5E0EC97}">
            <xm:f>'TC1'!#REF!="Speak"</xm:f>
            <x14:dxf>
              <font>
                <b/>
                <i val="0"/>
                <color rgb="FFFF0000"/>
              </font>
            </x14:dxf>
          </x14:cfRule>
          <xm:sqref>C13:C18</xm:sqref>
        </x14:conditionalFormatting>
        <x14:conditionalFormatting xmlns:xm="http://schemas.microsoft.com/office/excel/2006/main">
          <x14:cfRule type="containsText" priority="1601" operator="containsText" text="DB" id="{13199334-A07C-4C5D-9702-0259EF9FF61E}">
            <xm:f>NOT(ISERROR(SEARCH("DB",'TC1'!#REF!)))</xm:f>
            <x14:dxf>
              <font>
                <color rgb="FF006100"/>
              </font>
              <fill>
                <patternFill>
                  <bgColor rgb="FFC6EFCE"/>
                </patternFill>
              </fill>
            </x14:dxf>
          </x14:cfRule>
          <x14:cfRule type="containsText" priority="1602" operator="containsText" text="WEB SERVICE" id="{E7C4FA83-E048-40C4-9466-92A6BB8E3F78}">
            <xm:f>NOT(ISERROR(SEARCH("WEB SERVICE",'TC1'!#REF!)))</xm:f>
            <x14:dxf>
              <font>
                <color rgb="FF9C0006"/>
              </font>
              <fill>
                <patternFill>
                  <bgColor rgb="FFFFC7CE"/>
                </patternFill>
              </fill>
            </x14:dxf>
          </x14:cfRule>
          <xm:sqref>E13:E18</xm:sqref>
        </x14:conditionalFormatting>
        <x14:conditionalFormatting xmlns:xm="http://schemas.microsoft.com/office/excel/2006/main">
          <x14:cfRule type="expression" priority="3887" id="{3686C16D-5CCD-49C1-B5EB-A1E1FDC24C25}">
            <xm:f>'TC1'!$B10="HANGUP"</xm:f>
            <x14:dxf>
              <font>
                <b/>
                <i val="0"/>
              </font>
            </x14:dxf>
          </x14:cfRule>
          <x14:cfRule type="expression" priority="3888" id="{53AAEFA6-690C-4C55-AB10-26B430971B7B}">
            <xm:f>'TC1'!$B10="Dial"</xm:f>
            <x14:dxf>
              <font>
                <b/>
                <i val="0"/>
                <color rgb="FFFF0000"/>
              </font>
            </x14:dxf>
          </x14:cfRule>
          <xm:sqref>C9:C12</xm:sqref>
        </x14:conditionalFormatting>
        <x14:conditionalFormatting xmlns:xm="http://schemas.microsoft.com/office/excel/2006/main">
          <x14:cfRule type="expression" priority="3890" id="{4C0E73F3-37F3-45B5-93E6-D1F6D5E0EC97}">
            <xm:f>'TC1'!$B10="Speak"</xm:f>
            <x14:dxf>
              <font>
                <b/>
                <i val="0"/>
                <color rgb="FFFF0000"/>
              </font>
            </x14:dxf>
          </x14:cfRule>
          <xm:sqref>C9:C12</xm:sqref>
        </x14:conditionalFormatting>
      </x14:conditionalFormatting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9"/>
  <dimension ref="A1:E19"/>
  <sheetViews>
    <sheetView zoomScaleNormal="100" workbookViewId="0">
      <selection activeCell="C24" sqref="C2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TC67</v>
      </c>
      <c r="C2" s="94"/>
      <c r="D2" s="107"/>
      <c r="E2" s="93"/>
    </row>
    <row r="3" spans="1:5">
      <c r="A3" s="100" t="s">
        <v>19</v>
      </c>
      <c r="B3" s="108">
        <f ca="1">VLOOKUP(B2,Table1[#All],2,FALSE)</f>
        <v>0</v>
      </c>
      <c r="C3" s="94"/>
      <c r="D3" s="107"/>
      <c r="E3" s="93"/>
    </row>
    <row r="4" spans="1:5" ht="30">
      <c r="A4" s="109" t="s">
        <v>20</v>
      </c>
      <c r="B4" s="95">
        <f ca="1">VLOOKUP(B2,Table1[#All],4,FALSE)</f>
        <v>0</v>
      </c>
      <c r="C4" s="94"/>
      <c r="D4" s="107"/>
      <c r="E4" s="93"/>
    </row>
    <row r="5" spans="1:5">
      <c r="A5" s="100" t="s">
        <v>6</v>
      </c>
      <c r="B5" s="89" t="str">
        <f ca="1">VLOOKUP(B2,Table1[#All],3,FALSE)</f>
        <v>CallStart MM/no input 2x/xfer</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VLOOKUP(Table25755252691013434446474849565758596315181719224566677172737476777879939495100104109111113115117121[[#This Row],[PEG]],Table1016[#All],2,FALSE)</f>
        <v>CallID.wav Call ID &lt;CallID&gt;</v>
      </c>
      <c r="D9" s="149" t="s">
        <v>477</v>
      </c>
      <c r="E9" s="122" t="str">
        <f>VLOOKUP(Table25755252691013434446474849565758596315181719224566677172737476777879939495100104109111113115117121[[#This Row],[PEG]],Table1016[#All],3,FALSE)</f>
        <v>TEST</v>
      </c>
    </row>
    <row r="10" spans="1:5" ht="30">
      <c r="A10" s="114">
        <v>3</v>
      </c>
      <c r="B10" s="110" t="s">
        <v>115</v>
      </c>
      <c r="C10" s="105" t="str">
        <f>VLOOKUP(Table25755252691013434446474849565758596315181719224566677172737476777879939495100104109111113115117121[[#This Row],[PEG]],Table1016[#All],2,FALSE)</f>
        <v>0100.wav Thank you for calling Shell vacations Club, we are glad you called. Please have your account number available for faster service. [To continue in Spanish, press 9]</v>
      </c>
      <c r="D10" s="149">
        <v>100</v>
      </c>
      <c r="E10" s="122" t="str">
        <f>VLOOKUP(Table25755252691013434446474849565758596315181719224566677172737476777879939495100104109111113115117121[[#This Row],[PEG]],Table1016[#All],3,FALSE)</f>
        <v>PLAY PROMPT</v>
      </c>
    </row>
    <row r="11" spans="1:5" ht="30">
      <c r="A11" s="114">
        <v>4</v>
      </c>
      <c r="B11" s="110" t="s">
        <v>115</v>
      </c>
      <c r="C11" s="105" t="str">
        <f>VLOOKUP(Table25755252691013434446474849565758596315181719224566677172737476777879939495100104109111113115117121[[#This Row],[PEG]],Table1016[#All],2,FALSE)</f>
        <v>0110-1.wav Which would you like? You can say... reservations, payments &amp; statements, title &amp; ownership changes, or more options.</v>
      </c>
      <c r="D11" s="149">
        <v>110</v>
      </c>
      <c r="E11" s="122" t="str">
        <f>VLOOKUP(Table25755252691013434446474849565758596315181719224566677172737476777879939495100104109111113115117121[[#This Row],[PEG]],Table1016[#All],3,FALSE)</f>
        <v>MENU PROMPT</v>
      </c>
    </row>
    <row r="12" spans="1:5">
      <c r="A12" s="114">
        <v>5</v>
      </c>
      <c r="B12" s="110" t="s">
        <v>12</v>
      </c>
      <c r="C12" s="158" t="s">
        <v>607</v>
      </c>
      <c r="D12" s="149"/>
      <c r="E12" s="122" t="e">
        <f>VLOOKUP(Table25755252691013434446474849565758596315181719224566677172737476777879939495100104109111113115117121[[#This Row],[PEG]],Table1016[#All],3,FALSE)</f>
        <v>#N/A</v>
      </c>
    </row>
    <row r="13" spans="1:5">
      <c r="A13" s="114">
        <v>6</v>
      </c>
      <c r="B13" s="110" t="s">
        <v>115</v>
      </c>
      <c r="C13" s="105" t="str">
        <f>VLOOKUP(Table25755252691013434446474849565758596315181719224566677172737476777879939495100104109111113115117121[[#This Row],[PEG]],Table1016[#All],2,FALSE)</f>
        <v>Sorry.</v>
      </c>
      <c r="D13" s="149" t="s">
        <v>295</v>
      </c>
      <c r="E13" s="122" t="str">
        <f>VLOOKUP(Table25755252691013434446474849565758596315181719224566677172737476777879939495100104109111113115117121[[#This Row],[PEG]],Table1016[#All],3,FALSE)</f>
        <v>PLAY PROMPT</v>
      </c>
    </row>
    <row r="14" spans="1:5" ht="30">
      <c r="A14" s="114">
        <v>7</v>
      </c>
      <c r="B14" s="110" t="s">
        <v>115</v>
      </c>
      <c r="C14" s="105" t="str">
        <f>VLOOKUP(Table25755252691013434446474849565758596315181719224566677172737476777879939495100104109111113115117121[[#This Row],[PEG]],Table1016[#All],2,FALSE)</f>
        <v>0110-2.wav  For reservations, press 1, payments and statements 2, title &amp; ownership changes 3, or more options 4. &lt;pause&gt; To speak to a representative, press 0.</v>
      </c>
      <c r="D14" s="145" t="s">
        <v>301</v>
      </c>
      <c r="E14" s="122" t="str">
        <f>VLOOKUP(Table25755252691013434446474849565758596315181719224566677172737476777879939495100104109111113115117121[[#This Row],[PEG]],Table1016[#All],3,FALSE)</f>
        <v>MENU PROMPT</v>
      </c>
    </row>
    <row r="15" spans="1:5">
      <c r="A15" s="114">
        <v>8</v>
      </c>
      <c r="B15" s="110" t="s">
        <v>12</v>
      </c>
      <c r="C15" s="151" t="s">
        <v>607</v>
      </c>
      <c r="D15" s="112"/>
      <c r="E15" s="122" t="e">
        <f>VLOOKUP(Table25755252691013434446474849565758596315181719224566677172737476777879939495100104109111113115117121[[#This Row],[PEG]],Table1016[#All],3,FALSE)</f>
        <v>#N/A</v>
      </c>
    </row>
    <row r="16" spans="1:5">
      <c r="A16" s="114">
        <v>9</v>
      </c>
      <c r="B16" s="110" t="s">
        <v>115</v>
      </c>
      <c r="C16" s="105" t="str">
        <f>VLOOKUP(Table25755252691013434446474849565758596315181719224566677172737476777879939495100104109111113115117121[[#This Row],[PEG]],Table1016[#All],2,FALSE)</f>
        <v>Sorry, I'm having trouble</v>
      </c>
      <c r="D16" s="112" t="s">
        <v>297</v>
      </c>
      <c r="E16" s="122" t="str">
        <f>VLOOKUP(Table25755252691013434446474849565758596315181719224566677172737476777879939495100104109111113115117121[[#This Row],[PEG]],Table1016[#All],3,FALSE)</f>
        <v>PLAY PROMPT</v>
      </c>
    </row>
    <row r="17" spans="1:5">
      <c r="A17" s="114">
        <v>10</v>
      </c>
      <c r="B17" s="110" t="s">
        <v>115</v>
      </c>
      <c r="C17" s="105" t="str">
        <f>VLOOKUP(Table25755252691013434446474849565758596315181719224566677172737476777879939495100104109111113115117121[[#This Row],[PEG]],Table1016[#All],2,FALSE)</f>
        <v>0900.wav Please hold, while I connect you to a customer service representative.</v>
      </c>
      <c r="D17" s="113">
        <v>900</v>
      </c>
      <c r="E17" s="122" t="str">
        <f>VLOOKUP(Table25755252691013434446474849565758596315181719224566677172737476777879939495100104109111113115117121[[#This Row],[PEG]],Table1016[#All],3,FALSE)</f>
        <v>PLAY PROMPT</v>
      </c>
    </row>
    <row r="18" spans="1:5">
      <c r="A18" s="114">
        <v>11</v>
      </c>
      <c r="B18" s="110" t="s">
        <v>115</v>
      </c>
      <c r="C18" s="105" t="str">
        <f>VLOOKUP(Table25755252691013434446474849565758596315181719224566677172737476777879939495100104109111113115117121[[#This Row],[PEG]],Table1016[#All],2,FALSE)</f>
        <v>XferNbr.wav Transfer Number &lt;TransferNbr&gt;</v>
      </c>
      <c r="D18" s="113" t="s">
        <v>480</v>
      </c>
      <c r="E18" s="122" t="str">
        <f>VLOOKUP(Table25755252691013434446474849565758596315181719224566677172737476777879939495100104109111113115117121[[#This Row],[PEG]],Table1016[#All],3,FALSE)</f>
        <v>TEST</v>
      </c>
    </row>
    <row r="19" spans="1:5">
      <c r="A19" s="114">
        <v>12</v>
      </c>
      <c r="B19" s="110" t="s">
        <v>13</v>
      </c>
      <c r="C19" s="17" t="s">
        <v>13</v>
      </c>
      <c r="D19" s="111"/>
      <c r="E19" s="31"/>
    </row>
  </sheetData>
  <mergeCells count="1">
    <mergeCell ref="A1:B1"/>
  </mergeCells>
  <conditionalFormatting sqref="B8:B18">
    <cfRule type="containsText" dxfId="4485" priority="13" operator="containsText" text="Hear">
      <formula>NOT(ISERROR(SEARCH("Hear",B8)))</formula>
    </cfRule>
  </conditionalFormatting>
  <conditionalFormatting sqref="B19">
    <cfRule type="containsText" dxfId="4484" priority="19" operator="containsText" text="Hear">
      <formula>NOT(ISERROR(SEARCH("Hear",B19)))</formula>
    </cfRule>
  </conditionalFormatting>
  <conditionalFormatting sqref="E19">
    <cfRule type="containsText" dxfId="4483" priority="17" operator="containsText" text="WEB SERVICE">
      <formula>NOT(ISERROR(SEARCH("WEB SERVICE",E19)))</formula>
    </cfRule>
    <cfRule type="containsText" dxfId="4482" priority="18" operator="containsText" text="DB">
      <formula>NOT(ISERROR(SEARCH("DB",E19)))</formula>
    </cfRule>
  </conditionalFormatting>
  <conditionalFormatting sqref="C19">
    <cfRule type="expression" dxfId="4481" priority="22">
      <formula>$B19="HANGUP"</formula>
    </cfRule>
  </conditionalFormatting>
  <hyperlinks>
    <hyperlink ref="A1" location="'Test Case Overview'!A1" display="Return to Test Case Overview" xr:uid="{00000000-0004-0000-43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3" id="{35618E38-C3B8-4724-8EB2-0753CBE29C5F}">
            <xm:f>'TC1'!$B8="HANGUP"</xm:f>
            <x14:dxf>
              <font>
                <b/>
                <i val="0"/>
              </font>
            </x14:dxf>
          </x14:cfRule>
          <x14:cfRule type="expression" priority="24" id="{73F41762-D0F6-4E2C-A593-87271B7EBF91}">
            <xm:f>'TC1'!$B8="Dial"</xm:f>
            <x14:dxf>
              <font>
                <b/>
                <i val="0"/>
                <color rgb="FFFF0000"/>
              </font>
            </x14:dxf>
          </x14:cfRule>
          <xm:sqref>C8</xm:sqref>
        </x14:conditionalFormatting>
        <x14:conditionalFormatting xmlns:xm="http://schemas.microsoft.com/office/excel/2006/main">
          <x14:cfRule type="expression" priority="25" id="{44F67959-3CAE-490C-B377-F5B30A4470C4}">
            <xm:f>'TC1'!$B8="Speak"</xm:f>
            <x14:dxf>
              <font>
                <b/>
                <i val="0"/>
                <color rgb="FFFF0000"/>
              </font>
            </x14:dxf>
          </x14:cfRule>
          <xm:sqref>C8</xm:sqref>
        </x14:conditionalFormatting>
        <x14:conditionalFormatting xmlns:xm="http://schemas.microsoft.com/office/excel/2006/main">
          <x14:cfRule type="containsText" priority="21" operator="containsText" text="DB" id="{95B0BCF9-9D72-424A-8312-B5624ACA7FED}">
            <xm:f>NOT(ISERROR(SEARCH("DB",'TC1'!E10)))</xm:f>
            <x14:dxf>
              <font>
                <color rgb="FF006100"/>
              </font>
              <fill>
                <patternFill>
                  <bgColor rgb="FFC6EFCE"/>
                </patternFill>
              </fill>
            </x14:dxf>
          </x14:cfRule>
          <x14:cfRule type="containsText" priority="26" operator="containsText" text="WEB SERVICE" id="{6F5F20AA-E497-4560-8FE3-1A7FBF6B1131}">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620" id="{35618E38-C3B8-4724-8EB2-0753CBE29C5F}">
            <xm:f>'TC1'!#REF!="HANGUP"</xm:f>
            <x14:dxf>
              <font>
                <b/>
                <i val="0"/>
              </font>
            </x14:dxf>
          </x14:cfRule>
          <x14:cfRule type="expression" priority="1621" id="{73F41762-D0F6-4E2C-A593-87271B7EBF91}">
            <xm:f>'TC1'!#REF!="Dial"</xm:f>
            <x14:dxf>
              <font>
                <b/>
                <i val="0"/>
                <color rgb="FFFF0000"/>
              </font>
            </x14:dxf>
          </x14:cfRule>
          <xm:sqref>C13:C15 C17</xm:sqref>
        </x14:conditionalFormatting>
        <x14:conditionalFormatting xmlns:xm="http://schemas.microsoft.com/office/excel/2006/main">
          <x14:cfRule type="expression" priority="1626" id="{44F67959-3CAE-490C-B377-F5B30A4470C4}">
            <xm:f>'TC1'!#REF!="Speak"</xm:f>
            <x14:dxf>
              <font>
                <b/>
                <i val="0"/>
                <color rgb="FFFF0000"/>
              </font>
            </x14:dxf>
          </x14:cfRule>
          <xm:sqref>C13:C15 C17</xm:sqref>
        </x14:conditionalFormatting>
        <x14:conditionalFormatting xmlns:xm="http://schemas.microsoft.com/office/excel/2006/main">
          <x14:cfRule type="containsText" priority="1632" operator="containsText" text="DB" id="{95B0BCF9-9D72-424A-8312-B5624ACA7FED}">
            <xm:f>NOT(ISERROR(SEARCH("DB",'TC1'!#REF!)))</xm:f>
            <x14:dxf>
              <font>
                <color rgb="FF006100"/>
              </font>
              <fill>
                <patternFill>
                  <bgColor rgb="FFC6EFCE"/>
                </patternFill>
              </fill>
            </x14:dxf>
          </x14:cfRule>
          <x14:cfRule type="containsText" priority="1633" operator="containsText" text="WEB SERVICE" id="{6F5F20AA-E497-4560-8FE3-1A7FBF6B1131}">
            <xm:f>NOT(ISERROR(SEARCH("WEB SERVICE",'TC1'!#REF!)))</xm:f>
            <x14:dxf>
              <font>
                <color rgb="FF9C0006"/>
              </font>
              <fill>
                <patternFill>
                  <bgColor rgb="FFFFC7CE"/>
                </patternFill>
              </fill>
            </x14:dxf>
          </x14:cfRule>
          <xm:sqref>E13:E18</xm:sqref>
        </x14:conditionalFormatting>
        <x14:conditionalFormatting xmlns:xm="http://schemas.microsoft.com/office/excel/2006/main">
          <x14:cfRule type="expression" priority="3906" id="{35618E38-C3B8-4724-8EB2-0753CBE29C5F}">
            <xm:f>'TC1'!$B10="HANGUP"</xm:f>
            <x14:dxf>
              <font>
                <b/>
                <i val="0"/>
              </font>
            </x14:dxf>
          </x14:cfRule>
          <x14:cfRule type="expression" priority="3907" id="{73F41762-D0F6-4E2C-A593-87271B7EBF91}">
            <xm:f>'TC1'!$B10="Dial"</xm:f>
            <x14:dxf>
              <font>
                <b/>
                <i val="0"/>
                <color rgb="FFFF0000"/>
              </font>
            </x14:dxf>
          </x14:cfRule>
          <xm:sqref>C9:C12</xm:sqref>
        </x14:conditionalFormatting>
        <x14:conditionalFormatting xmlns:xm="http://schemas.microsoft.com/office/excel/2006/main">
          <x14:cfRule type="expression" priority="3909" id="{44F67959-3CAE-490C-B377-F5B30A4470C4}">
            <xm:f>'TC1'!$B10="Speak"</xm:f>
            <x14:dxf>
              <font>
                <b/>
                <i val="0"/>
                <color rgb="FFFF0000"/>
              </font>
            </x14:dxf>
          </x14:cfRule>
          <xm:sqref>C9:C12</xm:sqref>
        </x14:conditionalFormatting>
        <x14:conditionalFormatting xmlns:xm="http://schemas.microsoft.com/office/excel/2006/main">
          <x14:cfRule type="expression" priority="4" id="{5E45CE23-0DA1-45E5-A18A-29593D5616AA}">
            <xm:f>'TC1'!#REF!="HANGUP"</xm:f>
            <x14:dxf>
              <font>
                <b/>
                <i val="0"/>
              </font>
            </x14:dxf>
          </x14:cfRule>
          <x14:cfRule type="expression" priority="5" id="{0EE0B512-DEF7-46C8-9D2B-3C09C7030B56}">
            <xm:f>'TC1'!#REF!="Dial"</xm:f>
            <x14:dxf>
              <font>
                <b/>
                <i val="0"/>
                <color rgb="FFFF0000"/>
              </font>
            </x14:dxf>
          </x14:cfRule>
          <xm:sqref>C16</xm:sqref>
        </x14:conditionalFormatting>
        <x14:conditionalFormatting xmlns:xm="http://schemas.microsoft.com/office/excel/2006/main">
          <x14:cfRule type="expression" priority="6" id="{0C79C2DF-ED34-4439-8D1A-62338E1C29A2}">
            <xm:f>'TC1'!#REF!="Speak"</xm:f>
            <x14:dxf>
              <font>
                <b/>
                <i val="0"/>
                <color rgb="FFFF0000"/>
              </font>
            </x14:dxf>
          </x14:cfRule>
          <xm:sqref>C16</xm:sqref>
        </x14:conditionalFormatting>
        <x14:conditionalFormatting xmlns:xm="http://schemas.microsoft.com/office/excel/2006/main">
          <x14:cfRule type="expression" priority="1" id="{153F12B1-8F8C-430D-B7A3-CFC8EDE6F1E9}">
            <xm:f>'TC1'!#REF!="HANGUP"</xm:f>
            <x14:dxf>
              <font>
                <b/>
                <i val="0"/>
              </font>
            </x14:dxf>
          </x14:cfRule>
          <x14:cfRule type="expression" priority="2" id="{655E9029-2ED5-457C-8101-C013316334ED}">
            <xm:f>'TC1'!#REF!="Dial"</xm:f>
            <x14:dxf>
              <font>
                <b/>
                <i val="0"/>
                <color rgb="FFFF0000"/>
              </font>
            </x14:dxf>
          </x14:cfRule>
          <xm:sqref>C18</xm:sqref>
        </x14:conditionalFormatting>
        <x14:conditionalFormatting xmlns:xm="http://schemas.microsoft.com/office/excel/2006/main">
          <x14:cfRule type="expression" priority="3" id="{686A5DD4-6CBD-464D-AD72-0E886F84E562}">
            <xm:f>'TC1'!#REF!="Speak"</xm:f>
            <x14:dxf>
              <font>
                <b/>
                <i val="0"/>
                <color rgb="FFFF0000"/>
              </font>
            </x14:dxf>
          </x14:cfRule>
          <xm:sqref>C18</xm:sqref>
        </x14:conditionalFormatting>
      </x14:conditionalFormatting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70"/>
  <dimension ref="A1:E19"/>
  <sheetViews>
    <sheetView zoomScaleNormal="100" workbookViewId="0">
      <selection activeCell="C22" sqref="C22"/>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TC68</v>
      </c>
      <c r="C2" s="94"/>
      <c r="D2" s="107"/>
      <c r="E2" s="93"/>
    </row>
    <row r="3" spans="1:5">
      <c r="A3" s="100" t="s">
        <v>19</v>
      </c>
      <c r="B3" s="108">
        <f ca="1">VLOOKUP(B2,Table1[#All],2,FALSE)</f>
        <v>0</v>
      </c>
      <c r="C3" s="94"/>
      <c r="D3" s="107"/>
      <c r="E3" s="93"/>
    </row>
    <row r="4" spans="1:5" ht="30">
      <c r="A4" s="109" t="s">
        <v>20</v>
      </c>
      <c r="B4" s="95">
        <f ca="1">VLOOKUP(B2,Table1[#All],4,FALSE)</f>
        <v>0</v>
      </c>
      <c r="C4" s="94"/>
      <c r="D4" s="107"/>
      <c r="E4" s="93"/>
    </row>
    <row r="5" spans="1:5" ht="30">
      <c r="A5" s="100" t="s">
        <v>6</v>
      </c>
      <c r="B5" s="89" t="str">
        <f ca="1">VLOOKUP(B2,Table1[#All],3,FALSE)</f>
        <v>CallStart MM/Something else/no match2x/xfer</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VLOOKUP(Table25755252691013434446474849565758596315181719224566677172737476777879939495100104109111113115117123[[#This Row],[PEG]],Table1016[#All],2,FALSE)</f>
        <v>CallID.wav Call ID &lt;CallID&gt;</v>
      </c>
      <c r="D9" s="149" t="s">
        <v>477</v>
      </c>
      <c r="E9" s="122" t="str">
        <f>VLOOKUP(Table25755252691013434446474849565758596315181719224566677172737476777879939495100104109111113115117123[[#This Row],[PEG]],Table1016[#All],3,FALSE)</f>
        <v>TEST</v>
      </c>
    </row>
    <row r="10" spans="1:5" ht="30">
      <c r="A10" s="114">
        <v>3</v>
      </c>
      <c r="B10" s="110" t="s">
        <v>115</v>
      </c>
      <c r="C10" s="105" t="str">
        <f>VLOOKUP(Table25755252691013434446474849565758596315181719224566677172737476777879939495100104109111113115117123[[#This Row],[PEG]],Table1016[#All],2,FALSE)</f>
        <v>0100.wav Thank you for calling Shell vacations Club, we are glad you called. Please have your account number available for faster service. [To continue in Spanish, press 9]</v>
      </c>
      <c r="D10" s="149">
        <v>100</v>
      </c>
      <c r="E10" s="122" t="str">
        <f>VLOOKUP(Table25755252691013434446474849565758596315181719224566677172737476777879939495100104109111113115117123[[#This Row],[PEG]],Table1016[#All],3,FALSE)</f>
        <v>PLAY PROMPT</v>
      </c>
    </row>
    <row r="11" spans="1:5" ht="30">
      <c r="A11" s="114">
        <v>4</v>
      </c>
      <c r="B11" s="110" t="s">
        <v>115</v>
      </c>
      <c r="C11" s="105" t="str">
        <f>VLOOKUP(Table25755252691013434446474849565758596315181719224566677172737476777879939495100104109111113115117123[[#This Row],[PEG]],Table1016[#All],2,FALSE)</f>
        <v>0110-1.wav Which would you like? You can say... reservations, payments &amp; statements, title &amp; ownership changes, or more options.</v>
      </c>
      <c r="D11" s="149">
        <v>110</v>
      </c>
      <c r="E11" s="122" t="str">
        <f>VLOOKUP(Table25755252691013434446474849565758596315181719224566677172737476777879939495100104109111113115117123[[#This Row],[PEG]],Table1016[#All],3,FALSE)</f>
        <v>MENU PROMPT</v>
      </c>
    </row>
    <row r="12" spans="1:5">
      <c r="A12" s="114">
        <v>5</v>
      </c>
      <c r="B12" s="110" t="s">
        <v>608</v>
      </c>
      <c r="C12" s="158">
        <v>9</v>
      </c>
      <c r="D12" s="149"/>
      <c r="E12" s="122" t="e">
        <f>VLOOKUP(Table25755252691013434446474849565758596315181719224566677172737476777879939495100104109111113115117123[[#This Row],[PEG]],Table1016[#All],3,FALSE)</f>
        <v>#N/A</v>
      </c>
    </row>
    <row r="13" spans="1:5">
      <c r="A13" s="114">
        <v>6</v>
      </c>
      <c r="B13" s="110" t="s">
        <v>115</v>
      </c>
      <c r="C13" s="105" t="str">
        <f>VLOOKUP(Table25755252691013434446474849565758596315181719224566677172737476777879939495100104109111113115117123[[#This Row],[PEG]],Table1016[#All],2,FALSE)</f>
        <v>Sorry.</v>
      </c>
      <c r="D13" s="149" t="s">
        <v>295</v>
      </c>
      <c r="E13" s="122" t="str">
        <f>VLOOKUP(Table25755252691013434446474849565758596315181719224566677172737476777879939495100104109111113115117123[[#This Row],[PEG]],Table1016[#All],3,FALSE)</f>
        <v>PLAY PROMPT</v>
      </c>
    </row>
    <row r="14" spans="1:5" ht="30">
      <c r="A14" s="114">
        <v>7</v>
      </c>
      <c r="B14" s="110" t="s">
        <v>115</v>
      </c>
      <c r="C14" s="105" t="str">
        <f>VLOOKUP(Table25755252691013434446474849565758596315181719224566677172737476777879939495100104109111113115117123[[#This Row],[PEG]],Table1016[#All],2,FALSE)</f>
        <v>0110-2.wav  For reservations, press 1, payments and statements 2, title &amp; ownership changes 3, or more options 4. &lt;pause&gt; To speak to a representative, press 0.</v>
      </c>
      <c r="D14" s="145" t="s">
        <v>301</v>
      </c>
      <c r="E14" s="122" t="str">
        <f>VLOOKUP(Table25755252691013434446474849565758596315181719224566677172737476777879939495100104109111113115117123[[#This Row],[PEG]],Table1016[#All],3,FALSE)</f>
        <v>MENU PROMPT</v>
      </c>
    </row>
    <row r="15" spans="1:5">
      <c r="A15" s="114">
        <v>8</v>
      </c>
      <c r="B15" s="110" t="s">
        <v>608</v>
      </c>
      <c r="C15" s="151">
        <v>9</v>
      </c>
      <c r="D15" s="112">
        <v>200</v>
      </c>
      <c r="E15" s="122" t="str">
        <f>VLOOKUP(Table25755252691013434446474849565758596315181719224566677172737476777879939495100104109111113115117123[[#This Row],[PEG]],Table1016[#All],3,FALSE)</f>
        <v>MENU PROMPT</v>
      </c>
    </row>
    <row r="16" spans="1:5">
      <c r="A16" s="114">
        <v>9</v>
      </c>
      <c r="B16" s="110" t="s">
        <v>115</v>
      </c>
      <c r="C16" s="105" t="str">
        <f>VLOOKUP(Table25755252691013434446474849565758596315181719224566677172737476777879939495100104109111113115117123[[#This Row],[PEG]],Table1016[#All],2,FALSE)</f>
        <v>Sorry, I'm having trouble</v>
      </c>
      <c r="D16" s="112" t="s">
        <v>297</v>
      </c>
      <c r="E16" s="122" t="str">
        <f>VLOOKUP(Table25755252691013434446474849565758596315181719224566677172737476777879939495100104109111113115117123[[#This Row],[PEG]],Table1016[#All],3,FALSE)</f>
        <v>PLAY PROMPT</v>
      </c>
    </row>
    <row r="17" spans="1:5">
      <c r="A17" s="114">
        <v>10</v>
      </c>
      <c r="B17" s="110" t="s">
        <v>115</v>
      </c>
      <c r="C17" s="105" t="str">
        <f>VLOOKUP(Table25755252691013434446474849565758596315181719224566677172737476777879939495100104109111113115117123[[#This Row],[PEG]],Table1016[#All],2,FALSE)</f>
        <v>0900.wav Please hold, while I connect you to a customer service representative.</v>
      </c>
      <c r="D17" s="113">
        <v>900</v>
      </c>
      <c r="E17" s="122" t="str">
        <f>VLOOKUP(Table25755252691013434446474849565758596315181719224566677172737476777879939495100104109111113115117123[[#This Row],[PEG]],Table1016[#All],3,FALSE)</f>
        <v>PLAY PROMPT</v>
      </c>
    </row>
    <row r="18" spans="1:5">
      <c r="A18" s="114">
        <v>11</v>
      </c>
      <c r="B18" s="110" t="s">
        <v>115</v>
      </c>
      <c r="C18" s="105" t="str">
        <f>VLOOKUP(Table25755252691013434446474849565758596315181719224566677172737476777879939495100104109111113115117123[[#This Row],[PEG]],Table1016[#All],2,FALSE)</f>
        <v>XferNbr.wav Transfer Number &lt;TransferNbr&gt;</v>
      </c>
      <c r="D18" s="113" t="s">
        <v>480</v>
      </c>
      <c r="E18" s="122" t="str">
        <f>VLOOKUP(Table25755252691013434446474849565758596315181719224566677172737476777879939495100104109111113115117123[[#This Row],[PEG]],Table1016[#All],3,FALSE)</f>
        <v>TEST</v>
      </c>
    </row>
    <row r="19" spans="1:5">
      <c r="A19" s="114">
        <v>12</v>
      </c>
      <c r="B19" s="110" t="s">
        <v>13</v>
      </c>
      <c r="C19" s="17" t="s">
        <v>13</v>
      </c>
      <c r="D19" s="113"/>
      <c r="E19" s="122" t="e">
        <f>VLOOKUP(Table25755252691013434446474849565758596315181719224566677172737476777879939495100104109111113115117123[[#This Row],[PEG]],Table1016[#All],3,FALSE)</f>
        <v>#N/A</v>
      </c>
    </row>
  </sheetData>
  <mergeCells count="1">
    <mergeCell ref="A1:B1"/>
  </mergeCells>
  <conditionalFormatting sqref="B8">
    <cfRule type="containsText" dxfId="4452" priority="4" operator="containsText" text="Hear">
      <formula>NOT(ISERROR(SEARCH("Hear",B8)))</formula>
    </cfRule>
  </conditionalFormatting>
  <conditionalFormatting sqref="B9:B18">
    <cfRule type="containsText" dxfId="4451" priority="2" operator="containsText" text="Hear">
      <formula>NOT(ISERROR(SEARCH("Hear",B9)))</formula>
    </cfRule>
  </conditionalFormatting>
  <conditionalFormatting sqref="B19">
    <cfRule type="containsText" dxfId="4450" priority="3" operator="containsText" text="Hear">
      <formula>NOT(ISERROR(SEARCH("Hear",B19)))</formula>
    </cfRule>
  </conditionalFormatting>
  <conditionalFormatting sqref="C19">
    <cfRule type="expression" dxfId="4449" priority="1">
      <formula>$B19="HANGUP"</formula>
    </cfRule>
  </conditionalFormatting>
  <hyperlinks>
    <hyperlink ref="A1" location="'Test Case Overview'!A1" display="Return to Test Case Overview" xr:uid="{00000000-0004-0000-44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4" id="{481F3B37-103D-4007-AF7E-D52E5AA4F838}">
            <xm:f>'TC1'!$B8="HANGUP"</xm:f>
            <x14:dxf>
              <font>
                <b/>
                <i val="0"/>
              </font>
            </x14:dxf>
          </x14:cfRule>
          <x14:cfRule type="expression" priority="15" id="{F055B02A-3476-483D-B6F8-4B7B34615F1E}">
            <xm:f>'TC1'!$B8="Dial"</xm:f>
            <x14:dxf>
              <font>
                <b/>
                <i val="0"/>
                <color rgb="FFFF0000"/>
              </font>
            </x14:dxf>
          </x14:cfRule>
          <xm:sqref>C8</xm:sqref>
        </x14:conditionalFormatting>
        <x14:conditionalFormatting xmlns:xm="http://schemas.microsoft.com/office/excel/2006/main">
          <x14:cfRule type="expression" priority="16" id="{7AF6900A-B343-4E5D-A1DF-F3C69B630B00}">
            <xm:f>'TC1'!$B8="Speak"</xm:f>
            <x14:dxf>
              <font>
                <b/>
                <i val="0"/>
                <color rgb="FFFF0000"/>
              </font>
            </x14:dxf>
          </x14:cfRule>
          <xm:sqref>C8</xm:sqref>
        </x14:conditionalFormatting>
        <x14:conditionalFormatting xmlns:xm="http://schemas.microsoft.com/office/excel/2006/main">
          <x14:cfRule type="containsText" priority="12" operator="containsText" text="DB" id="{614EC5EA-49FD-4039-BF4B-23B8B158138A}">
            <xm:f>NOT(ISERROR(SEARCH("DB",'TC1'!E10)))</xm:f>
            <x14:dxf>
              <font>
                <color rgb="FF006100"/>
              </font>
              <fill>
                <patternFill>
                  <bgColor rgb="FFC6EFCE"/>
                </patternFill>
              </fill>
            </x14:dxf>
          </x14:cfRule>
          <x14:cfRule type="containsText" priority="17" operator="containsText" text="WEB SERVICE" id="{32DDA7BB-84D6-4A50-B81D-CE3ECFC2DB7A}">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631" id="{481F3B37-103D-4007-AF7E-D52E5AA4F838}">
            <xm:f>'TC1'!#REF!="HANGUP"</xm:f>
            <x14:dxf>
              <font>
                <b/>
                <i val="0"/>
              </font>
            </x14:dxf>
          </x14:cfRule>
          <x14:cfRule type="expression" priority="1632" id="{F055B02A-3476-483D-B6F8-4B7B34615F1E}">
            <xm:f>'TC1'!#REF!="Dial"</xm:f>
            <x14:dxf>
              <font>
                <b/>
                <i val="0"/>
                <color rgb="FFFF0000"/>
              </font>
            </x14:dxf>
          </x14:cfRule>
          <xm:sqref>C13:C18</xm:sqref>
        </x14:conditionalFormatting>
        <x14:conditionalFormatting xmlns:xm="http://schemas.microsoft.com/office/excel/2006/main">
          <x14:cfRule type="expression" priority="1637" id="{7AF6900A-B343-4E5D-A1DF-F3C69B630B00}">
            <xm:f>'TC1'!#REF!="Speak"</xm:f>
            <x14:dxf>
              <font>
                <b/>
                <i val="0"/>
                <color rgb="FFFF0000"/>
              </font>
            </x14:dxf>
          </x14:cfRule>
          <xm:sqref>C13:C18</xm:sqref>
        </x14:conditionalFormatting>
        <x14:conditionalFormatting xmlns:xm="http://schemas.microsoft.com/office/excel/2006/main">
          <x14:cfRule type="containsText" priority="1643" operator="containsText" text="DB" id="{614EC5EA-49FD-4039-BF4B-23B8B158138A}">
            <xm:f>NOT(ISERROR(SEARCH("DB",'TC1'!#REF!)))</xm:f>
            <x14:dxf>
              <font>
                <color rgb="FF006100"/>
              </font>
              <fill>
                <patternFill>
                  <bgColor rgb="FFC6EFCE"/>
                </patternFill>
              </fill>
            </x14:dxf>
          </x14:cfRule>
          <x14:cfRule type="containsText" priority="1644" operator="containsText" text="WEB SERVICE" id="{32DDA7BB-84D6-4A50-B81D-CE3ECFC2DB7A}">
            <xm:f>NOT(ISERROR(SEARCH("WEB SERVICE",'TC1'!#REF!)))</xm:f>
            <x14:dxf>
              <font>
                <color rgb="FF9C0006"/>
              </font>
              <fill>
                <patternFill>
                  <bgColor rgb="FFFFC7CE"/>
                </patternFill>
              </fill>
            </x14:dxf>
          </x14:cfRule>
          <xm:sqref>E13:E19</xm:sqref>
        </x14:conditionalFormatting>
        <x14:conditionalFormatting xmlns:xm="http://schemas.microsoft.com/office/excel/2006/main">
          <x14:cfRule type="expression" priority="3905" id="{481F3B37-103D-4007-AF7E-D52E5AA4F838}">
            <xm:f>'TC1'!$B10="HANGUP"</xm:f>
            <x14:dxf>
              <font>
                <b/>
                <i val="0"/>
              </font>
            </x14:dxf>
          </x14:cfRule>
          <x14:cfRule type="expression" priority="3906" id="{F055B02A-3476-483D-B6F8-4B7B34615F1E}">
            <xm:f>'TC1'!$B10="Dial"</xm:f>
            <x14:dxf>
              <font>
                <b/>
                <i val="0"/>
                <color rgb="FFFF0000"/>
              </font>
            </x14:dxf>
          </x14:cfRule>
          <xm:sqref>C9:C12</xm:sqref>
        </x14:conditionalFormatting>
        <x14:conditionalFormatting xmlns:xm="http://schemas.microsoft.com/office/excel/2006/main">
          <x14:cfRule type="expression" priority="3908" id="{7AF6900A-B343-4E5D-A1DF-F3C69B630B00}">
            <xm:f>'TC1'!$B10="Speak"</xm:f>
            <x14:dxf>
              <font>
                <b/>
                <i val="0"/>
                <color rgb="FFFF0000"/>
              </font>
            </x14:dxf>
          </x14:cfRule>
          <xm:sqref>C9:C12</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E35"/>
  <sheetViews>
    <sheetView zoomScaleNormal="100" workbookViewId="0">
      <selection activeCell="C10" sqref="C10"/>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8" t="s">
        <v>4</v>
      </c>
      <c r="B1" s="199"/>
      <c r="C1" s="101"/>
    </row>
    <row r="2" spans="1:5">
      <c r="A2" s="102" t="s">
        <v>5</v>
      </c>
      <c r="B2" s="103" t="str">
        <f ca="1">MID(CELL("filename",A1),FIND("]",CELL("filename",A1))+1,LEN(CELL("filename",A1))-FIND("]",CELL("filename",A1)))</f>
        <v>TC6</v>
      </c>
    </row>
    <row r="3" spans="1:5">
      <c r="A3" s="100" t="s">
        <v>19</v>
      </c>
      <c r="B3" s="108">
        <f ca="1">VLOOKUP(B2,Table1[#All],2,FALSE)</f>
        <v>0</v>
      </c>
    </row>
    <row r="4" spans="1:5" ht="30">
      <c r="A4" s="109" t="s">
        <v>20</v>
      </c>
      <c r="B4" s="95">
        <f ca="1">VLOOKUP(B2,Table1[#All],4,FALSE)</f>
        <v>0</v>
      </c>
    </row>
    <row r="5" spans="1:5">
      <c r="A5" s="100" t="s">
        <v>6</v>
      </c>
      <c r="B5" s="89" t="str">
        <f ca="1">VLOOKUP(B2,Table1[#All],3,FALSE)</f>
        <v>CallStart Main Menu More options Rep to Xfer</v>
      </c>
    </row>
    <row r="7" spans="1:5" ht="15.75">
      <c r="A7" s="96" t="s">
        <v>7</v>
      </c>
      <c r="B7" s="97" t="s">
        <v>8</v>
      </c>
      <c r="C7" s="98" t="s">
        <v>9</v>
      </c>
      <c r="D7" s="98" t="s">
        <v>14</v>
      </c>
      <c r="E7" s="99" t="s">
        <v>10</v>
      </c>
    </row>
    <row r="8" spans="1:5">
      <c r="A8" s="114">
        <v>1</v>
      </c>
      <c r="B8" s="110" t="s">
        <v>114</v>
      </c>
      <c r="C8" s="124" t="s">
        <v>125</v>
      </c>
      <c r="D8" s="125"/>
      <c r="E8" s="122" t="s">
        <v>11</v>
      </c>
    </row>
    <row r="9" spans="1:5" s="93" customFormat="1">
      <c r="A9" s="114">
        <v>2</v>
      </c>
      <c r="B9" s="110" t="s">
        <v>115</v>
      </c>
      <c r="C9" s="146" t="str">
        <f>VLOOKUP(Table25755252670[[#This Row],[PEG]],Table1016[],2,FALSE)</f>
        <v>CallID.wav Call ID &lt;CallID&gt;</v>
      </c>
      <c r="D9" s="145" t="s">
        <v>477</v>
      </c>
      <c r="E9" s="122"/>
    </row>
    <row r="10" spans="1:5" ht="30">
      <c r="A10" s="114">
        <v>3</v>
      </c>
      <c r="B10" s="110" t="s">
        <v>115</v>
      </c>
      <c r="C10" s="105" t="str">
        <f>VLOOKUP(Table2575525269111220[[#This Row],[PEG]],Table1016[#All],2,FALSE)</f>
        <v>0100.wav Thank you for calling Shell vacations Club, we are glad you called. Please have your account number available for faster service. [To continue in Spanish, press 9]</v>
      </c>
      <c r="D10" s="145">
        <v>100</v>
      </c>
      <c r="E10" s="122" t="str">
        <f>VLOOKUP(Table2575525269111220[[#This Row],[PEG]],Table1016[#All],3,FALSE)</f>
        <v>PLAY PROMPT</v>
      </c>
    </row>
    <row r="11" spans="1:5" ht="30">
      <c r="A11" s="114">
        <v>4</v>
      </c>
      <c r="B11" s="110" t="s">
        <v>115</v>
      </c>
      <c r="C11" s="105" t="str">
        <f>VLOOKUP(Table2575525269111220[[#This Row],[PEG]],Table1016[#All],2,FALSE)</f>
        <v>0110-1.wav Which would you like? You can say... reservations, payments &amp; statements, title &amp; ownership changes, or more options.</v>
      </c>
      <c r="D11" s="145">
        <v>110</v>
      </c>
      <c r="E11" s="122" t="str">
        <f>VLOOKUP(Table2575525269111220[[#This Row],[PEG]],Table1016[#All],3,FALSE)</f>
        <v>MENU PROMPT</v>
      </c>
    </row>
    <row r="12" spans="1:5">
      <c r="A12" s="114">
        <v>5</v>
      </c>
      <c r="B12" s="110" t="s">
        <v>124</v>
      </c>
      <c r="C12" s="105" t="s">
        <v>468</v>
      </c>
      <c r="D12" s="145"/>
      <c r="E12" s="122" t="e">
        <f>VLOOKUP(Table2575525269111220[[#This Row],[PEG]],Table1016[#All],3,FALSE)</f>
        <v>#N/A</v>
      </c>
    </row>
    <row r="13" spans="1:5" ht="30">
      <c r="A13" s="114">
        <v>6</v>
      </c>
      <c r="B13" s="110" t="s">
        <v>115</v>
      </c>
      <c r="C13" s="105" t="str">
        <f>VLOOKUP(Table2575525269111220[[#This Row],[PEG]],Table1016[#All],2,FALSE)</f>
        <v>0120-1.wav You can say... Wyndham rewards, points conversion, personal interval choice, or speak to a representative.</v>
      </c>
      <c r="D13" s="145">
        <v>120</v>
      </c>
      <c r="E13" s="122" t="str">
        <f>VLOOKUP(Table2575525269111220[[#This Row],[PEG]],Table1016[#All],3,FALSE)</f>
        <v>MENU PROMPT</v>
      </c>
    </row>
    <row r="14" spans="1:5">
      <c r="A14" s="114">
        <v>7</v>
      </c>
      <c r="B14" s="110" t="s">
        <v>124</v>
      </c>
      <c r="C14" s="105" t="s">
        <v>473</v>
      </c>
      <c r="D14" s="145"/>
      <c r="E14" s="122" t="e">
        <f>VLOOKUP(Table2575525269111220[[#This Row],[PEG]],Table1016[#All],3,FALSE)</f>
        <v>#N/A</v>
      </c>
    </row>
    <row r="15" spans="1:5">
      <c r="A15" s="114">
        <v>8</v>
      </c>
      <c r="B15" s="110" t="s">
        <v>115</v>
      </c>
      <c r="C15" s="105" t="str">
        <f>VLOOKUP(Table2575525269111220[[#This Row],[PEG]],Table1016[#All],2,FALSE)</f>
        <v>0900.wav Please hold, while I connect you to a customer service representative.</v>
      </c>
      <c r="D15" s="145">
        <v>900</v>
      </c>
      <c r="E15" s="122" t="str">
        <f>VLOOKUP(Table2575525269111220[[#This Row],[PEG]],Table1016[#All],3,FALSE)</f>
        <v>PLAY PROMPT</v>
      </c>
    </row>
    <row r="16" spans="1:5">
      <c r="A16" s="114">
        <v>9</v>
      </c>
      <c r="B16" s="110" t="s">
        <v>115</v>
      </c>
      <c r="C16" s="105" t="str">
        <f>VLOOKUP(Table2575525269111220[[#This Row],[PEG]],Table1016[#All],2,FALSE)</f>
        <v>XferNbr.wav Transfer Number &lt;TransferNbr&gt;</v>
      </c>
      <c r="D16" s="112" t="s">
        <v>480</v>
      </c>
      <c r="E16" s="122" t="str">
        <f>VLOOKUP(Table2575525269111220[[#This Row],[PEG]],Table1016[#All],3,FALSE)</f>
        <v>TEST</v>
      </c>
    </row>
    <row r="17" spans="1:5">
      <c r="A17" s="114">
        <v>10</v>
      </c>
      <c r="B17" s="110" t="s">
        <v>13</v>
      </c>
      <c r="C17" s="105" t="s">
        <v>13</v>
      </c>
      <c r="D17" s="111"/>
      <c r="E17" s="31"/>
    </row>
    <row r="18" spans="1:5">
      <c r="C18" s="25"/>
      <c r="D18" s="107" t="s">
        <v>0</v>
      </c>
    </row>
    <row r="19" spans="1:5">
      <c r="C19" s="25"/>
    </row>
    <row r="20" spans="1:5">
      <c r="C20" s="25"/>
    </row>
    <row r="21" spans="1:5">
      <c r="C21" s="25"/>
    </row>
    <row r="22" spans="1:5">
      <c r="C22" s="25"/>
    </row>
    <row r="23" spans="1:5">
      <c r="C23" s="25"/>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6"/>
    </row>
    <row r="34" spans="3:3">
      <c r="C34" s="26"/>
    </row>
    <row r="35" spans="3:3">
      <c r="C35" s="26"/>
    </row>
  </sheetData>
  <mergeCells count="1">
    <mergeCell ref="A1:B1"/>
  </mergeCells>
  <conditionalFormatting sqref="E17">
    <cfRule type="containsText" dxfId="6558" priority="32" operator="containsText" text="WEB SERVICE">
      <formula>NOT(ISERROR(SEARCH("WEB SERVICE",E17)))</formula>
    </cfRule>
    <cfRule type="containsText" dxfId="6557" priority="33" operator="containsText" text="DB">
      <formula>NOT(ISERROR(SEARCH("DB",E17)))</formula>
    </cfRule>
  </conditionalFormatting>
  <conditionalFormatting sqref="C10:C9974">
    <cfRule type="expression" dxfId="6556" priority="35">
      <formula>$B10="Dial"</formula>
    </cfRule>
    <cfRule type="expression" dxfId="6555" priority="37">
      <formula>$B10="HANGUP"</formula>
    </cfRule>
  </conditionalFormatting>
  <conditionalFormatting sqref="C8">
    <cfRule type="expression" dxfId="6554" priority="3">
      <formula>$B8="Dial"</formula>
    </cfRule>
    <cfRule type="expression" dxfId="6553" priority="4">
      <formula>$B8="HANGUP"</formula>
    </cfRule>
  </conditionalFormatting>
  <conditionalFormatting sqref="B8:B17">
    <cfRule type="containsText" dxfId="6552" priority="7" operator="containsText" text="Hear">
      <formula>NOT(ISERROR(SEARCH("Hear",B8)))</formula>
    </cfRule>
  </conditionalFormatting>
  <conditionalFormatting sqref="C10:C17">
    <cfRule type="expression" dxfId="6551" priority="9">
      <formula>$B10="Speak"</formula>
    </cfRule>
  </conditionalFormatting>
  <conditionalFormatting sqref="C9">
    <cfRule type="expression" dxfId="6550" priority="1">
      <formula>$B9="Dial"</formula>
    </cfRule>
    <cfRule type="expression" dxfId="6549" priority="2">
      <formula>$B9="HANGUP"</formula>
    </cfRule>
  </conditionalFormatting>
  <hyperlinks>
    <hyperlink ref="A1" location="'Test Case Overview'!A1" display="Return to Test Case Overview" xr:uid="{00000000-0004-0000-06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26" operator="containsText" text="WEB SERVICE" id="{A872774E-6616-41BA-A551-49D601243C3F}">
            <xm:f>NOT(ISERROR(SEARCH("WEB SERVICE",'TC1'!E10)))</xm:f>
            <x14:dxf>
              <font>
                <color rgb="FF9C0006"/>
              </font>
              <fill>
                <patternFill>
                  <bgColor rgb="FFFFC7CE"/>
                </patternFill>
              </fill>
            </x14:dxf>
          </x14:cfRule>
          <x14:cfRule type="containsText" priority="27" operator="containsText" text="DB" id="{F9B1C5CD-FE89-46D1-B5BD-1D12BC48DC53}">
            <xm:f>NOT(ISERROR(SEARCH("DB",'TC1'!E10)))</xm:f>
            <x14:dxf>
              <font>
                <color rgb="FF006100"/>
              </font>
              <fill>
                <patternFill>
                  <bgColor rgb="FFC6EFCE"/>
                </patternFill>
              </fill>
            </x14:dxf>
          </x14:cfRule>
          <xm:sqref>E10:E13</xm:sqref>
        </x14:conditionalFormatting>
        <x14:conditionalFormatting xmlns:xm="http://schemas.microsoft.com/office/excel/2006/main">
          <x14:cfRule type="containsText" priority="709" operator="containsText" text="WEB SERVICE" id="{A872774E-6616-41BA-A551-49D601243C3F}">
            <xm:f>NOT(ISERROR(SEARCH("WEB SERVICE",'TC1'!#REF!)))</xm:f>
            <x14:dxf>
              <font>
                <color rgb="FF9C0006"/>
              </font>
              <fill>
                <patternFill>
                  <bgColor rgb="FFFFC7CE"/>
                </patternFill>
              </fill>
            </x14:dxf>
          </x14:cfRule>
          <x14:cfRule type="containsText" priority="710" operator="containsText" text="DB" id="{F9B1C5CD-FE89-46D1-B5BD-1D12BC48DC53}">
            <xm:f>NOT(ISERROR(SEARCH("DB",'TC1'!#REF!)))</xm:f>
            <x14:dxf>
              <font>
                <color rgb="FF006100"/>
              </font>
              <fill>
                <patternFill>
                  <bgColor rgb="FFC6EFCE"/>
                </patternFill>
              </fill>
            </x14:dxf>
          </x14:cfRule>
          <xm:sqref>E14:E16</xm:sqref>
        </x14:conditionalFormatting>
      </x14:conditionalFormattings>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71"/>
  <dimension ref="A1:E19"/>
  <sheetViews>
    <sheetView zoomScaleNormal="100" workbookViewId="0">
      <selection activeCell="C8" sqref="C8"/>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TC69</v>
      </c>
      <c r="C2" s="94"/>
      <c r="D2" s="107"/>
      <c r="E2" s="93"/>
    </row>
    <row r="3" spans="1:5">
      <c r="A3" s="100" t="s">
        <v>19</v>
      </c>
      <c r="B3" s="108">
        <f ca="1">VLOOKUP(B2,Table1[#All],2,FALSE)</f>
        <v>0</v>
      </c>
      <c r="C3" s="94"/>
      <c r="D3" s="107"/>
      <c r="E3" s="93"/>
    </row>
    <row r="4" spans="1:5" ht="30">
      <c r="A4" s="109" t="s">
        <v>20</v>
      </c>
      <c r="B4" s="95" t="str">
        <f ca="1">VLOOKUP(B2,Table1[#All],4,FALSE)</f>
        <v>ID AUTH</v>
      </c>
      <c r="C4" s="94"/>
      <c r="D4" s="107"/>
      <c r="E4" s="93"/>
    </row>
    <row r="5" spans="1:5" ht="30">
      <c r="A5" s="100" t="s">
        <v>6</v>
      </c>
      <c r="B5" s="89" t="str">
        <f ca="1">VLOOKUP(B2,Table1[#All],3,FALSE)</f>
        <v>COLL INBD/IDAUTH/ acct # no input no match/xfer</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24" t="s">
        <v>475</v>
      </c>
      <c r="D8" s="149"/>
      <c r="E8" s="122" t="s">
        <v>11</v>
      </c>
    </row>
    <row r="9" spans="1:5">
      <c r="A9" s="114">
        <v>2</v>
      </c>
      <c r="B9" s="110" t="s">
        <v>115</v>
      </c>
      <c r="C9" s="105" t="str">
        <f>VLOOKUP(Table25755252691013434446474849565758596315181719224566677172737476777879939495100104109111113115117125[[#This Row],[PEG]],Table1016[#All],2,FALSE)</f>
        <v>CallID.wav Call ID &lt;CallID&gt;</v>
      </c>
      <c r="D9" s="149" t="s">
        <v>477</v>
      </c>
      <c r="E9" s="122" t="str">
        <f>VLOOKUP(Table25755252691013434446474849565758596315181719224566677172737476777879939495100104109111113115117125[[#This Row],[PEG]],Table1016[#All],3,FALSE)</f>
        <v>TEST</v>
      </c>
    </row>
    <row r="10" spans="1:5">
      <c r="A10" s="114">
        <v>3</v>
      </c>
      <c r="B10" s="110" t="s">
        <v>115</v>
      </c>
      <c r="C10" s="105" t="str">
        <f>VLOOKUP(Table25755252691013434446474849565758596315181719224566677172737476777879939495100104109111113115117125[[#This Row],[PEG]],Table1016[#All],2,FALSE)</f>
        <v>0130.wav Thank you for calling &lt;brand&gt;... [To continue in Spanish, press 9]</v>
      </c>
      <c r="D10" s="149">
        <v>130</v>
      </c>
      <c r="E10" s="122" t="str">
        <f>VLOOKUP(Table25755252691013434446474849565758596315181719224566677172737476777879939495100104109111113115117125[[#This Row],[PEG]],Table1016[#All],3,FALSE)</f>
        <v>PLAY PROMPT</v>
      </c>
    </row>
    <row r="11" spans="1:5">
      <c r="A11" s="114">
        <v>4</v>
      </c>
      <c r="B11" s="110" t="s">
        <v>115</v>
      </c>
      <c r="C11" s="105" t="str">
        <f>VLOOKUP(Table25755252691013434446474849565758596315181719224566677172737476777879939495100104109111113115117125[[#This Row],[PEG]],Table1016[#All],2,FALSE)</f>
        <v>0200-1.wav To get started, what is your account number?</v>
      </c>
      <c r="D11" s="149">
        <v>200</v>
      </c>
      <c r="E11" s="122" t="str">
        <f>VLOOKUP(Table25755252691013434446474849565758596315181719224566677172737476777879939495100104109111113115117125[[#This Row],[PEG]],Table1016[#All],3,FALSE)</f>
        <v>MENU PROMPT</v>
      </c>
    </row>
    <row r="12" spans="1:5">
      <c r="A12" s="114">
        <v>5</v>
      </c>
      <c r="B12" s="110" t="s">
        <v>12</v>
      </c>
      <c r="C12" s="158" t="s">
        <v>609</v>
      </c>
      <c r="D12" s="149"/>
      <c r="E12" s="122" t="e">
        <f>VLOOKUP(Table25755252691013434446474849565758596315181719224566677172737476777879939495100104109111113115117125[[#This Row],[PEG]],Table1016[#All],3,FALSE)</f>
        <v>#N/A</v>
      </c>
    </row>
    <row r="13" spans="1:5">
      <c r="A13" s="114">
        <v>6</v>
      </c>
      <c r="B13" s="110" t="s">
        <v>115</v>
      </c>
      <c r="C13" s="105" t="str">
        <f>VLOOKUP(Table25755252691013434446474849565758596315181719224566677172737476777879939495100104109111113115117125[[#This Row],[PEG]],Table1016[#All],2,FALSE)</f>
        <v>Sorry.</v>
      </c>
      <c r="D13" s="149" t="s">
        <v>295</v>
      </c>
      <c r="E13" s="122" t="str">
        <f>VLOOKUP(Table25755252691013434446474849565758596315181719224566677172737476777879939495100104109111113115117125[[#This Row],[PEG]],Table1016[#All],3,FALSE)</f>
        <v>PLAY PROMPT</v>
      </c>
    </row>
    <row r="14" spans="1:5">
      <c r="A14" s="114">
        <v>7</v>
      </c>
      <c r="B14" s="110" t="s">
        <v>115</v>
      </c>
      <c r="C14" s="105" t="str">
        <f>VLOOKUP(Table25755252691013434446474849565758596315181719224566677172737476777879939495100104109111113115117125[[#This Row],[PEG]],Table1016[#All],2,FALSE)</f>
        <v>0200AccountNumRetry.wav Please say or enter your account number.</v>
      </c>
      <c r="D14" s="149" t="s">
        <v>377</v>
      </c>
      <c r="E14" s="122" t="str">
        <f>VLOOKUP(Table25755252691013434446474849565758596315181719224566677172737476777879939495100104109111113115117125[[#This Row],[PEG]],Table1016[#All],3,FALSE)</f>
        <v>MENU PROMPT</v>
      </c>
    </row>
    <row r="15" spans="1:5">
      <c r="A15" s="114">
        <v>8</v>
      </c>
      <c r="B15" s="110" t="s">
        <v>114</v>
      </c>
      <c r="C15" s="151" t="s">
        <v>1</v>
      </c>
      <c r="D15" s="164"/>
      <c r="E15" s="122" t="e">
        <f>VLOOKUP(Table25755252691013434446474849565758596315181719224566677172737476777879939495100104109111113115117125[[#This Row],[PEG]],Table1016[#All],3,FALSE)</f>
        <v>#N/A</v>
      </c>
    </row>
    <row r="16" spans="1:5">
      <c r="A16" s="114">
        <v>9</v>
      </c>
      <c r="B16" s="110" t="s">
        <v>115</v>
      </c>
      <c r="C16" s="105" t="str">
        <f>VLOOKUP(Table25755252691013434446474849565758596315181719224566677172737476777879939495100104109111113115117125[[#This Row],[PEG]],Table1016[#All],2,FALSE)</f>
        <v>Sorry, I'm having trouble</v>
      </c>
      <c r="D16" s="112" t="s">
        <v>297</v>
      </c>
      <c r="E16" s="122" t="str">
        <f>VLOOKUP(Table25755252691013434446474849565758596315181719224566677172737476777879939495100104109111113115117125[[#This Row],[PEG]],Table1016[#All],3,FALSE)</f>
        <v>PLAY PROMPT</v>
      </c>
    </row>
    <row r="17" spans="1:5">
      <c r="A17" s="114">
        <v>10</v>
      </c>
      <c r="B17" s="110" t="s">
        <v>12</v>
      </c>
      <c r="C17" s="105" t="str">
        <f>VLOOKUP(Table25755252691013434446474849565758596315181719224566677172737476777879939495100104109111113115117125[[#This Row],[PEG]],Table1016[#All],2,FALSE)</f>
        <v>0900.wav Please hold, while I connect you to a customer service representative.</v>
      </c>
      <c r="D17" s="113">
        <v>900</v>
      </c>
      <c r="E17" s="122" t="str">
        <f>VLOOKUP(Table25755252691013434446474849565758596315181719224566677172737476777879939495100104109111113115117125[[#This Row],[PEG]],Table1016[#All],3,FALSE)</f>
        <v>PLAY PROMPT</v>
      </c>
    </row>
    <row r="18" spans="1:5">
      <c r="A18" s="114">
        <v>11</v>
      </c>
      <c r="B18" s="110" t="s">
        <v>115</v>
      </c>
      <c r="C18" s="105" t="str">
        <f>VLOOKUP(Table25755252691013434446474849565758596315181719224566677172737476777879939495100104109111113115117125[[#This Row],[PEG]],Table1016[#All],2,FALSE)</f>
        <v>XferNbr.wav Transfer Number &lt;TransferNbr&gt;</v>
      </c>
      <c r="D18" s="113" t="s">
        <v>480</v>
      </c>
      <c r="E18" s="122" t="str">
        <f>VLOOKUP(Table25755252691013434446474849565758596315181719224566677172737476777879939495100104109111113115117125[[#This Row],[PEG]],Table1016[#All],3,FALSE)</f>
        <v>TEST</v>
      </c>
    </row>
    <row r="19" spans="1:5">
      <c r="A19" s="114">
        <v>12</v>
      </c>
      <c r="B19" s="110" t="s">
        <v>13</v>
      </c>
      <c r="C19" s="17" t="s">
        <v>13</v>
      </c>
      <c r="D19" s="111"/>
      <c r="E19" s="31"/>
    </row>
  </sheetData>
  <mergeCells count="1">
    <mergeCell ref="A1:B1"/>
  </mergeCells>
  <conditionalFormatting sqref="B8:B11 B13:B18">
    <cfRule type="containsText" dxfId="4426" priority="4" operator="containsText" text="Hear">
      <formula>NOT(ISERROR(SEARCH("Hear",B8)))</formula>
    </cfRule>
  </conditionalFormatting>
  <conditionalFormatting sqref="B19">
    <cfRule type="containsText" dxfId="4425" priority="10" operator="containsText" text="Hear">
      <formula>NOT(ISERROR(SEARCH("Hear",B19)))</formula>
    </cfRule>
  </conditionalFormatting>
  <conditionalFormatting sqref="E19">
    <cfRule type="containsText" dxfId="4424" priority="8" operator="containsText" text="WEB SERVICE">
      <formula>NOT(ISERROR(SEARCH("WEB SERVICE",E19)))</formula>
    </cfRule>
    <cfRule type="containsText" dxfId="4423" priority="9" operator="containsText" text="DB">
      <formula>NOT(ISERROR(SEARCH("DB",E19)))</formula>
    </cfRule>
  </conditionalFormatting>
  <conditionalFormatting sqref="C19">
    <cfRule type="expression" dxfId="4422" priority="13">
      <formula>$B19="HANGUP"</formula>
    </cfRule>
  </conditionalFormatting>
  <conditionalFormatting sqref="C8">
    <cfRule type="expression" dxfId="4421" priority="2">
      <formula>$B8="Dial"</formula>
    </cfRule>
    <cfRule type="expression" dxfId="4420" priority="3">
      <formula>$B8="HANGUP"</formula>
    </cfRule>
  </conditionalFormatting>
  <conditionalFormatting sqref="B12">
    <cfRule type="containsText" dxfId="4419" priority="1" operator="containsText" text="Hear">
      <formula>NOT(ISERROR(SEARCH("Hear",B12)))</formula>
    </cfRule>
  </conditionalFormatting>
  <hyperlinks>
    <hyperlink ref="A1" location="'Test Case Overview'!A1" display="Return to Test Case Overview" xr:uid="{00000000-0004-0000-45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12" operator="containsText" text="DB" id="{B2909859-26AE-430D-ADFD-700F4C638A59}">
            <xm:f>NOT(ISERROR(SEARCH("DB",'TC1'!E10)))</xm:f>
            <x14:dxf>
              <font>
                <color rgb="FF006100"/>
              </font>
              <fill>
                <patternFill>
                  <bgColor rgb="FFC6EFCE"/>
                </patternFill>
              </fill>
            </x14:dxf>
          </x14:cfRule>
          <x14:cfRule type="containsText" priority="17" operator="containsText" text="WEB SERVICE" id="{643094B7-7842-445E-84E2-9C42D1E745C8}">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651" id="{E2F9517E-20B6-4E3D-A2F5-F8CDEE477B55}">
            <xm:f>'TC1'!#REF!="HANGUP"</xm:f>
            <x14:dxf>
              <font>
                <b/>
                <i val="0"/>
              </font>
            </x14:dxf>
          </x14:cfRule>
          <x14:cfRule type="expression" priority="1652" id="{0F3520B4-9FAF-42D0-9D2E-2C7CB1DE9E9A}">
            <xm:f>'TC1'!#REF!="Dial"</xm:f>
            <x14:dxf>
              <font>
                <b/>
                <i val="0"/>
                <color rgb="FFFF0000"/>
              </font>
            </x14:dxf>
          </x14:cfRule>
          <xm:sqref>C13:C18</xm:sqref>
        </x14:conditionalFormatting>
        <x14:conditionalFormatting xmlns:xm="http://schemas.microsoft.com/office/excel/2006/main">
          <x14:cfRule type="expression" priority="1657" id="{5AE83D75-2DAB-4703-888E-12FACF681389}">
            <xm:f>'TC1'!#REF!="Speak"</xm:f>
            <x14:dxf>
              <font>
                <b/>
                <i val="0"/>
                <color rgb="FFFF0000"/>
              </font>
            </x14:dxf>
          </x14:cfRule>
          <xm:sqref>C13:C18</xm:sqref>
        </x14:conditionalFormatting>
        <x14:conditionalFormatting xmlns:xm="http://schemas.microsoft.com/office/excel/2006/main">
          <x14:cfRule type="containsText" priority="1663" operator="containsText" text="DB" id="{B2909859-26AE-430D-ADFD-700F4C638A59}">
            <xm:f>NOT(ISERROR(SEARCH("DB",'TC1'!#REF!)))</xm:f>
            <x14:dxf>
              <font>
                <color rgb="FF006100"/>
              </font>
              <fill>
                <patternFill>
                  <bgColor rgb="FFC6EFCE"/>
                </patternFill>
              </fill>
            </x14:dxf>
          </x14:cfRule>
          <x14:cfRule type="containsText" priority="1664" operator="containsText" text="WEB SERVICE" id="{643094B7-7842-445E-84E2-9C42D1E745C8}">
            <xm:f>NOT(ISERROR(SEARCH("WEB SERVICE",'TC1'!#REF!)))</xm:f>
            <x14:dxf>
              <font>
                <color rgb="FF9C0006"/>
              </font>
              <fill>
                <patternFill>
                  <bgColor rgb="FFFFC7CE"/>
                </patternFill>
              </fill>
            </x14:dxf>
          </x14:cfRule>
          <xm:sqref>E13:E18</xm:sqref>
        </x14:conditionalFormatting>
        <x14:conditionalFormatting xmlns:xm="http://schemas.microsoft.com/office/excel/2006/main">
          <x14:cfRule type="expression" priority="3913" id="{E2F9517E-20B6-4E3D-A2F5-F8CDEE477B55}">
            <xm:f>'TC1'!$B10="HANGUP"</xm:f>
            <x14:dxf>
              <font>
                <b/>
                <i val="0"/>
              </font>
            </x14:dxf>
          </x14:cfRule>
          <x14:cfRule type="expression" priority="3914" id="{0F3520B4-9FAF-42D0-9D2E-2C7CB1DE9E9A}">
            <xm:f>'TC1'!$B10="Dial"</xm:f>
            <x14:dxf>
              <font>
                <b/>
                <i val="0"/>
                <color rgb="FFFF0000"/>
              </font>
            </x14:dxf>
          </x14:cfRule>
          <xm:sqref>C9:C12</xm:sqref>
        </x14:conditionalFormatting>
        <x14:conditionalFormatting xmlns:xm="http://schemas.microsoft.com/office/excel/2006/main">
          <x14:cfRule type="expression" priority="3916" id="{5AE83D75-2DAB-4703-888E-12FACF681389}">
            <xm:f>'TC1'!$B10="Speak"</xm:f>
            <x14:dxf>
              <font>
                <b/>
                <i val="0"/>
                <color rgb="FFFF0000"/>
              </font>
            </x14:dxf>
          </x14:cfRule>
          <xm:sqref>C9:C12</xm:sqref>
        </x14:conditionalFormatting>
      </x14:conditionalFormatting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72"/>
  <dimension ref="A1:E21"/>
  <sheetViews>
    <sheetView zoomScaleNormal="100" workbookViewId="0">
      <selection activeCell="D9" sqref="D9:D14"/>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TC70</v>
      </c>
      <c r="C2" s="94"/>
      <c r="D2" s="107"/>
      <c r="E2" s="93"/>
    </row>
    <row r="3" spans="1:5">
      <c r="A3" s="100" t="s">
        <v>19</v>
      </c>
      <c r="B3" s="108">
        <f ca="1">VLOOKUP(B2,Table1[#All],2,FALSE)</f>
        <v>0</v>
      </c>
      <c r="C3" s="94"/>
      <c r="D3" s="107"/>
      <c r="E3" s="93"/>
    </row>
    <row r="4" spans="1:5" ht="30">
      <c r="A4" s="109" t="s">
        <v>20</v>
      </c>
      <c r="B4" s="95">
        <f ca="1">VLOOKUP(B2,Table1[#All],4,FALSE)</f>
        <v>0</v>
      </c>
      <c r="C4" s="94"/>
      <c r="D4" s="107"/>
      <c r="E4" s="93"/>
    </row>
    <row r="5" spans="1:5" ht="30">
      <c r="A5" s="100" t="s">
        <v>6</v>
      </c>
      <c r="B5" s="89" t="str">
        <f ca="1">VLOOKUP(B2,Table1[#All],3,FALSE)</f>
        <v>COLL INBD/IDAUTH/ enter acct #/ DoB noinput 2x/xfer</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24" t="s">
        <v>475</v>
      </c>
      <c r="D8" s="125"/>
      <c r="E8" s="122" t="s">
        <v>11</v>
      </c>
    </row>
    <row r="9" spans="1:5">
      <c r="A9" s="114">
        <v>2</v>
      </c>
      <c r="B9" s="110" t="s">
        <v>115</v>
      </c>
      <c r="C9" s="105" t="str">
        <f>VLOOKUP(Table25755252691013434446474849565758596315181719224566677172737476777879939495100104109111113115117127[[#This Row],[PEG]],Table1016[#All],2,FALSE)</f>
        <v>CallID.wav Call ID &lt;CallID&gt;</v>
      </c>
      <c r="D9" s="149" t="s">
        <v>477</v>
      </c>
      <c r="E9" s="122" t="str">
        <f>VLOOKUP(Table25755252691013434446474849565758596315181719224566677172737476777879939495100104109111113115117127[[#This Row],[PEG]],Table1016[#All],3,FALSE)</f>
        <v>TEST</v>
      </c>
    </row>
    <row r="10" spans="1:5">
      <c r="A10" s="114">
        <v>3</v>
      </c>
      <c r="B10" s="110" t="s">
        <v>115</v>
      </c>
      <c r="C10" s="105" t="str">
        <f>VLOOKUP(Table25755252691013434446474849565758596315181719224566677172737476777879939495100104109111113115117127[[#This Row],[PEG]],Table1016[#All],2,FALSE)</f>
        <v>0130.wav Thank you for calling &lt;brand&gt;... [To continue in Spanish, press 9]</v>
      </c>
      <c r="D10" s="149">
        <v>130</v>
      </c>
      <c r="E10" s="122" t="str">
        <f>VLOOKUP(Table25755252691013434446474849565758596315181719224566677172737476777879939495100104109111113115117127[[#This Row],[PEG]],Table1016[#All],3,FALSE)</f>
        <v>PLAY PROMPT</v>
      </c>
    </row>
    <row r="11" spans="1:5">
      <c r="A11" s="114">
        <v>4</v>
      </c>
      <c r="B11" s="110" t="s">
        <v>115</v>
      </c>
      <c r="C11" s="105" t="str">
        <f>VLOOKUP(Table25755252691013434446474849565758596315181719224566677172737476777879939495100104109111113115117127[[#This Row],[PEG]],Table1016[#All],2,FALSE)</f>
        <v>0200-1.wav To get started, what is your account number?</v>
      </c>
      <c r="D11" s="149">
        <v>200</v>
      </c>
      <c r="E11" s="122" t="str">
        <f>VLOOKUP(Table25755252691013434446474849565758596315181719224566677172737476777879939495100104109111113115117127[[#This Row],[PEG]],Table1016[#All],3,FALSE)</f>
        <v>MENU PROMPT</v>
      </c>
    </row>
    <row r="12" spans="1:5">
      <c r="A12" s="114">
        <v>5</v>
      </c>
      <c r="B12" s="110" t="s">
        <v>114</v>
      </c>
      <c r="C12" s="151" t="s">
        <v>515</v>
      </c>
      <c r="D12" s="149"/>
      <c r="E12" s="122" t="e">
        <f>VLOOKUP(Table25755252691013434446474849565758596315181719224566677172737476777879939495100104109111113115117127[[#This Row],[PEG]],Table1016[#All],3,FALSE)</f>
        <v>#N/A</v>
      </c>
    </row>
    <row r="13" spans="1:5">
      <c r="A13" s="114">
        <v>6</v>
      </c>
      <c r="B13" s="110" t="s">
        <v>115</v>
      </c>
      <c r="C13" s="105" t="str">
        <f>VLOOKUP(Table25755252691013434446474849565758596315181719224566677172737476777879939495100104109111113115117127[[#This Row],[PEG]],Table1016[#All],2,FALSE)</f>
        <v>0210-1.wav And the date of birth for the primary owner?</v>
      </c>
      <c r="D13" s="149">
        <v>210</v>
      </c>
      <c r="E13" s="122" t="str">
        <f>VLOOKUP(Table25755252691013434446474849565758596315181719224566677172737476777879939495100104109111113115117127[[#This Row],[PEG]],Table1016[#All],3,FALSE)</f>
        <v>MENU PROMPT</v>
      </c>
    </row>
    <row r="14" spans="1:5">
      <c r="A14" s="114">
        <v>7</v>
      </c>
      <c r="B14" s="110" t="s">
        <v>12</v>
      </c>
      <c r="C14" s="151" t="s">
        <v>607</v>
      </c>
      <c r="D14" s="149"/>
      <c r="E14" s="122" t="e">
        <f>VLOOKUP(Table25755252691013434446474849565758596315181719224566677172737476777879939495100104109111113115117127[[#This Row],[PEG]],Table1016[#All],3,FALSE)</f>
        <v>#N/A</v>
      </c>
    </row>
    <row r="15" spans="1:5">
      <c r="A15" s="114">
        <v>8</v>
      </c>
      <c r="B15" s="110" t="s">
        <v>115</v>
      </c>
      <c r="C15" s="105" t="str">
        <f>VLOOKUP(Table25755252691013434446474849565758596315181719224566677172737476777879939495100104109111113115117127[[#This Row],[PEG]],Table1016[#All],2,FALSE)</f>
        <v>Sorry.</v>
      </c>
      <c r="D15" s="112" t="s">
        <v>295</v>
      </c>
      <c r="E15" s="122" t="str">
        <f>VLOOKUP(Table25755252691013434446474849565758596315181719224566677172737476777879939495100104109111113115117127[[#This Row],[PEG]],Table1016[#All],3,FALSE)</f>
        <v>PLAY PROMPT</v>
      </c>
    </row>
    <row r="16" spans="1:5" ht="30">
      <c r="A16" s="114">
        <v>9</v>
      </c>
      <c r="B16" s="110" t="s">
        <v>115</v>
      </c>
      <c r="C16" s="105" t="str">
        <f>VLOOKUP(Table25755252691013434446474849565758596315181719224566677172737476777879939495100104109111113115117127[[#This Row],[PEG]],Table1016[#All],2,FALSE)</f>
        <v>0210DOBRetry.wav Please tell me the primary owner’s date of birth including month, day, and year or enter it using 2 digits for month, 2 digits for day, and 4 digits for year.</v>
      </c>
      <c r="D16" s="112" t="s">
        <v>378</v>
      </c>
      <c r="E16" s="122" t="str">
        <f>VLOOKUP(Table25755252691013434446474849565758596315181719224566677172737476777879939495100104109111113115117127[[#This Row],[PEG]],Table1016[#All],3,FALSE)</f>
        <v>MENU PROMPT</v>
      </c>
    </row>
    <row r="17" spans="1:5" s="93" customFormat="1">
      <c r="A17" s="114">
        <v>10</v>
      </c>
      <c r="B17" s="110" t="s">
        <v>12</v>
      </c>
      <c r="C17" s="151" t="s">
        <v>607</v>
      </c>
      <c r="D17" s="112"/>
      <c r="E17" s="122"/>
    </row>
    <row r="18" spans="1:5">
      <c r="A18" s="114">
        <v>11</v>
      </c>
      <c r="B18" s="110" t="s">
        <v>115</v>
      </c>
      <c r="C18" s="105" t="str">
        <f>VLOOKUP(Table25755252691013434446474849565758596315181719224566677172737476777879939495100104109111113115117127[[#This Row],[PEG]],Table1016[#All],2,FALSE)</f>
        <v>Sorry, I'm having trouble</v>
      </c>
      <c r="D18" s="112" t="s">
        <v>297</v>
      </c>
      <c r="E18" s="122" t="str">
        <f>VLOOKUP(Table25755252691013434446474849565758596315181719224566677172737476777879939495100104109111113115117127[[#This Row],[PEG]],Table1016[#All],3,FALSE)</f>
        <v>PLAY PROMPT</v>
      </c>
    </row>
    <row r="19" spans="1:5">
      <c r="A19" s="114">
        <v>12</v>
      </c>
      <c r="B19" s="110" t="s">
        <v>115</v>
      </c>
      <c r="C19" s="105" t="str">
        <f>VLOOKUP(Table25755252691013434446474849565758596315181719224566677172737476777879939495100104109111113115117127[[#This Row],[PEG]],Table1016[#All],2,FALSE)</f>
        <v>0900.wav Please hold, while I connect you to a customer service representative.</v>
      </c>
      <c r="D19" s="113">
        <v>900</v>
      </c>
      <c r="E19" s="122" t="str">
        <f>VLOOKUP(Table25755252691013434446474849565758596315181719224566677172737476777879939495100104109111113115117127[[#This Row],[PEG]],Table1016[#All],3,FALSE)</f>
        <v>PLAY PROMPT</v>
      </c>
    </row>
    <row r="20" spans="1:5">
      <c r="A20" s="114">
        <v>13</v>
      </c>
      <c r="B20" s="110" t="s">
        <v>115</v>
      </c>
      <c r="C20" s="105" t="str">
        <f>VLOOKUP(Table25755252691013434446474849565758596315181719224566677172737476777879939495100104109111113115117127[[#This Row],[PEG]],Table1016[#All],2,FALSE)</f>
        <v>XferNbr.wav Transfer Number &lt;TransferNbr&gt;</v>
      </c>
      <c r="D20" s="113" t="s">
        <v>480</v>
      </c>
      <c r="E20" s="122" t="str">
        <f>VLOOKUP(Table25755252691013434446474849565758596315181719224566677172737476777879939495100104109111113115117127[[#This Row],[PEG]],Table1016[#All],3,FALSE)</f>
        <v>TEST</v>
      </c>
    </row>
    <row r="21" spans="1:5">
      <c r="A21" s="114">
        <v>14</v>
      </c>
      <c r="B21" s="110" t="s">
        <v>13</v>
      </c>
      <c r="C21" s="17" t="s">
        <v>13</v>
      </c>
      <c r="D21" s="111"/>
      <c r="E21" s="31"/>
    </row>
  </sheetData>
  <mergeCells count="1">
    <mergeCell ref="A1:B1"/>
  </mergeCells>
  <conditionalFormatting sqref="B8 B18:B19">
    <cfRule type="containsText" dxfId="4399" priority="11" operator="containsText" text="Hear">
      <formula>NOT(ISERROR(SEARCH("Hear",B8)))</formula>
    </cfRule>
  </conditionalFormatting>
  <conditionalFormatting sqref="B20:B21">
    <cfRule type="containsText" dxfId="4398" priority="17" operator="containsText" text="Hear">
      <formula>NOT(ISERROR(SEARCH("Hear",B20)))</formula>
    </cfRule>
  </conditionalFormatting>
  <conditionalFormatting sqref="E21">
    <cfRule type="containsText" dxfId="4397" priority="15" operator="containsText" text="WEB SERVICE">
      <formula>NOT(ISERROR(SEARCH("WEB SERVICE",E21)))</formula>
    </cfRule>
    <cfRule type="containsText" dxfId="4396" priority="16" operator="containsText" text="DB">
      <formula>NOT(ISERROR(SEARCH("DB",E21)))</formula>
    </cfRule>
  </conditionalFormatting>
  <conditionalFormatting sqref="C21">
    <cfRule type="expression" dxfId="4395" priority="20">
      <formula>$B21="HANGUP"</formula>
    </cfRule>
  </conditionalFormatting>
  <conditionalFormatting sqref="B9:B11 B13:B16">
    <cfRule type="containsText" dxfId="4394" priority="10" operator="containsText" text="Hear">
      <formula>NOT(ISERROR(SEARCH("Hear",B9)))</formula>
    </cfRule>
  </conditionalFormatting>
  <conditionalFormatting sqref="B12">
    <cfRule type="containsText" dxfId="4393" priority="9" operator="containsText" text="Hear">
      <formula>NOT(ISERROR(SEARCH("Hear",B12)))</formula>
    </cfRule>
  </conditionalFormatting>
  <conditionalFormatting sqref="B17">
    <cfRule type="containsText" dxfId="4392" priority="3" operator="containsText" text="Hear">
      <formula>NOT(ISERROR(SEARCH("Hear",B17)))</formula>
    </cfRule>
  </conditionalFormatting>
  <conditionalFormatting sqref="C8">
    <cfRule type="expression" dxfId="4391" priority="1">
      <formula>$B8="Dial"</formula>
    </cfRule>
    <cfRule type="expression" dxfId="4390" priority="2">
      <formula>$B8="HANGUP"</formula>
    </cfRule>
  </conditionalFormatting>
  <hyperlinks>
    <hyperlink ref="A1" location="'Test Case Overview'!A1" display="Return to Test Case Overview" xr:uid="{00000000-0004-0000-46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19" operator="containsText" text="DB" id="{1982E940-09C6-42FA-903F-BD800988F63A}">
            <xm:f>NOT(ISERROR(SEARCH("DB",'TC1'!E10)))</xm:f>
            <x14:dxf>
              <font>
                <color rgb="FF006100"/>
              </font>
              <fill>
                <patternFill>
                  <bgColor rgb="FFC6EFCE"/>
                </patternFill>
              </fill>
            </x14:dxf>
          </x14:cfRule>
          <x14:cfRule type="containsText" priority="24" operator="containsText" text="WEB SERVICE" id="{3CFD3EB8-A685-4799-A735-F068CF37A7EB}">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678" id="{049EC322-8E17-46B8-8736-59F33AB9FE95}">
            <xm:f>'TC1'!#REF!="HANGUP"</xm:f>
            <x14:dxf>
              <font>
                <b/>
                <i val="0"/>
              </font>
            </x14:dxf>
          </x14:cfRule>
          <x14:cfRule type="expression" priority="1679" id="{CE55083F-5A08-4C9D-BA28-3E177746C858}">
            <xm:f>'TC1'!#REF!="Dial"</xm:f>
            <x14:dxf>
              <font>
                <b/>
                <i val="0"/>
                <color rgb="FFFF0000"/>
              </font>
            </x14:dxf>
          </x14:cfRule>
          <xm:sqref>C13:C20</xm:sqref>
        </x14:conditionalFormatting>
        <x14:conditionalFormatting xmlns:xm="http://schemas.microsoft.com/office/excel/2006/main">
          <x14:cfRule type="expression" priority="1684" id="{3585A1D8-AE51-4263-82F3-C7ADE1894107}">
            <xm:f>'TC1'!#REF!="Speak"</xm:f>
            <x14:dxf>
              <font>
                <b/>
                <i val="0"/>
                <color rgb="FFFF0000"/>
              </font>
            </x14:dxf>
          </x14:cfRule>
          <xm:sqref>C13:C20</xm:sqref>
        </x14:conditionalFormatting>
        <x14:conditionalFormatting xmlns:xm="http://schemas.microsoft.com/office/excel/2006/main">
          <x14:cfRule type="containsText" priority="1690" operator="containsText" text="DB" id="{1982E940-09C6-42FA-903F-BD800988F63A}">
            <xm:f>NOT(ISERROR(SEARCH("DB",'TC1'!#REF!)))</xm:f>
            <x14:dxf>
              <font>
                <color rgb="FF006100"/>
              </font>
              <fill>
                <patternFill>
                  <bgColor rgb="FFC6EFCE"/>
                </patternFill>
              </fill>
            </x14:dxf>
          </x14:cfRule>
          <x14:cfRule type="containsText" priority="1691" operator="containsText" text="WEB SERVICE" id="{3CFD3EB8-A685-4799-A735-F068CF37A7EB}">
            <xm:f>NOT(ISERROR(SEARCH("WEB SERVICE",'TC1'!#REF!)))</xm:f>
            <x14:dxf>
              <font>
                <color rgb="FF9C0006"/>
              </font>
              <fill>
                <patternFill>
                  <bgColor rgb="FFFFC7CE"/>
                </patternFill>
              </fill>
            </x14:dxf>
          </x14:cfRule>
          <xm:sqref>E13:E20</xm:sqref>
        </x14:conditionalFormatting>
        <x14:conditionalFormatting xmlns:xm="http://schemas.microsoft.com/office/excel/2006/main">
          <x14:cfRule type="expression" priority="3928" id="{049EC322-8E17-46B8-8736-59F33AB9FE95}">
            <xm:f>'TC1'!$B10="HANGUP"</xm:f>
            <x14:dxf>
              <font>
                <b/>
                <i val="0"/>
              </font>
            </x14:dxf>
          </x14:cfRule>
          <x14:cfRule type="expression" priority="3929" id="{CE55083F-5A08-4C9D-BA28-3E177746C858}">
            <xm:f>'TC1'!$B10="Dial"</xm:f>
            <x14:dxf>
              <font>
                <b/>
                <i val="0"/>
                <color rgb="FFFF0000"/>
              </font>
            </x14:dxf>
          </x14:cfRule>
          <xm:sqref>C9:C11</xm:sqref>
        </x14:conditionalFormatting>
        <x14:conditionalFormatting xmlns:xm="http://schemas.microsoft.com/office/excel/2006/main">
          <x14:cfRule type="expression" priority="3931" id="{3585A1D8-AE51-4263-82F3-C7ADE1894107}">
            <xm:f>'TC1'!$B10="Speak"</xm:f>
            <x14:dxf>
              <font>
                <b/>
                <i val="0"/>
                <color rgb="FFFF0000"/>
              </font>
            </x14:dxf>
          </x14:cfRule>
          <xm:sqref>C9:C11</xm:sqref>
        </x14:conditionalFormatting>
        <x14:conditionalFormatting xmlns:xm="http://schemas.microsoft.com/office/excel/2006/main">
          <x14:cfRule type="expression" priority="6" id="{A657C2FE-2E8F-4607-AD4D-68AB53C9624C}">
            <xm:f>'\Users\deannah\Wyndham Testing\[Wyndham Destinations_TestCaseOverview_V3_Template.xlsx]TC1'!#REF!="HANGUP"</xm:f>
            <x14:dxf>
              <font>
                <b/>
                <i val="0"/>
              </font>
            </x14:dxf>
          </x14:cfRule>
          <x14:cfRule type="expression" priority="7" id="{95243B0F-4530-4602-B646-38A470999A62}">
            <xm:f>'\Users\deannah\Wyndham Testing\[Wyndham Destinations_TestCaseOverview_V3_Template.xlsx]TC1'!#REF!="Dial"</xm:f>
            <x14:dxf>
              <font>
                <b/>
                <i val="0"/>
                <color rgb="FFFF0000"/>
              </font>
            </x14:dxf>
          </x14:cfRule>
          <xm:sqref>C12</xm:sqref>
        </x14:conditionalFormatting>
        <x14:conditionalFormatting xmlns:xm="http://schemas.microsoft.com/office/excel/2006/main">
          <x14:cfRule type="expression" priority="8" id="{0DA5D29C-14DB-4414-B7FE-4BFC32B43E62}">
            <xm:f>'\Users\deannah\Wyndham Testing\[Wyndham Destinations_TestCaseOverview_V3_Template.xlsx]TC1'!#REF!="Speak"</xm:f>
            <x14:dxf>
              <font>
                <b/>
                <i val="0"/>
                <color rgb="FFFF0000"/>
              </font>
            </x14:dxf>
          </x14:cfRule>
          <xm:sqref>C12</xm:sqref>
        </x14:conditionalFormatting>
      </x14:conditionalFormatting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73"/>
  <dimension ref="A1:E23"/>
  <sheetViews>
    <sheetView zoomScaleNormal="100" workbookViewId="0">
      <selection activeCell="C27" sqref="C27"/>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TC71</v>
      </c>
      <c r="C2" s="94"/>
      <c r="D2" s="107"/>
      <c r="E2" s="93"/>
    </row>
    <row r="3" spans="1:5">
      <c r="A3" s="100" t="s">
        <v>19</v>
      </c>
      <c r="B3" s="108">
        <f ca="1">VLOOKUP(B2,Table1[#All],2,FALSE)</f>
        <v>0</v>
      </c>
      <c r="C3" s="94"/>
      <c r="D3" s="107"/>
      <c r="E3" s="93"/>
    </row>
    <row r="4" spans="1:5" ht="30">
      <c r="A4" s="109" t="s">
        <v>20</v>
      </c>
      <c r="B4" s="95">
        <f ca="1">VLOOKUP(B2,Table1[#All],4,FALSE)</f>
        <v>0</v>
      </c>
      <c r="C4" s="94"/>
      <c r="D4" s="107"/>
      <c r="E4" s="93"/>
    </row>
    <row r="5" spans="1:5" ht="30">
      <c r="A5" s="100" t="s">
        <v>6</v>
      </c>
      <c r="B5" s="89" t="str">
        <f ca="1">VLOOKUP(B2,Table1[#All],3,FALSE)</f>
        <v>COLL INBD/IDAUTH/ enter acct #/ incorrect DoB/ nomatch 2x/xfer</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24" t="s">
        <v>475</v>
      </c>
      <c r="D8" s="125"/>
      <c r="E8" s="122" t="s">
        <v>11</v>
      </c>
    </row>
    <row r="9" spans="1:5">
      <c r="A9" s="114">
        <v>2</v>
      </c>
      <c r="B9" s="110" t="s">
        <v>115</v>
      </c>
      <c r="C9" s="105" t="str">
        <f>VLOOKUP(Table25755252691013434446474849565758596315181719224566677172737476777879939495100104109111113115117129[[#This Row],[PEG]],Table1016[#All],2,FALSE)</f>
        <v>CallID.wav Call ID &lt;CallID&gt;</v>
      </c>
      <c r="D9" s="149" t="s">
        <v>477</v>
      </c>
      <c r="E9" s="122" t="str">
        <f>VLOOKUP(Table25755252691013434446474849565758596315181719224566677172737476777879939495100104109111113115117129[[#This Row],[PEG]],Table1016[#All],3,FALSE)</f>
        <v>TEST</v>
      </c>
    </row>
    <row r="10" spans="1:5">
      <c r="A10" s="114">
        <v>3</v>
      </c>
      <c r="B10" s="110" t="s">
        <v>115</v>
      </c>
      <c r="C10" s="105" t="str">
        <f>VLOOKUP(Table25755252691013434446474849565758596315181719224566677172737476777879939495100104109111113115117129[[#This Row],[PEG]],Table1016[#All],2,FALSE)</f>
        <v>0130.wav Thank you for calling &lt;brand&gt;... [To continue in Spanish, press 9]</v>
      </c>
      <c r="D10" s="149">
        <v>130</v>
      </c>
      <c r="E10" s="122" t="str">
        <f>VLOOKUP(Table25755252691013434446474849565758596315181719224566677172737476777879939495100104109111113115117129[[#This Row],[PEG]],Table1016[#All],3,FALSE)</f>
        <v>PLAY PROMPT</v>
      </c>
    </row>
    <row r="11" spans="1:5">
      <c r="A11" s="114">
        <v>4</v>
      </c>
      <c r="B11" s="110" t="s">
        <v>115</v>
      </c>
      <c r="C11" s="105" t="str">
        <f>VLOOKUP(Table25755252691013434446474849565758596315181719224566677172737476777879939495100104109111113115117129[[#This Row],[PEG]],Table1016[#All],2,FALSE)</f>
        <v>0200-1.wav To get started, what is your account number?</v>
      </c>
      <c r="D11" s="149">
        <v>200</v>
      </c>
      <c r="E11" s="122" t="str">
        <f>VLOOKUP(Table25755252691013434446474849565758596315181719224566677172737476777879939495100104109111113115117129[[#This Row],[PEG]],Table1016[#All],3,FALSE)</f>
        <v>MENU PROMPT</v>
      </c>
    </row>
    <row r="12" spans="1:5">
      <c r="A12" s="114">
        <v>5</v>
      </c>
      <c r="B12" s="110" t="s">
        <v>114</v>
      </c>
      <c r="C12" s="151" t="s">
        <v>515</v>
      </c>
      <c r="D12" s="149"/>
      <c r="E12" s="122" t="e">
        <f>VLOOKUP(Table25755252691013434446474849565758596315181719224566677172737476777879939495100104109111113115117129[[#This Row],[PEG]],Table1016[#All],3,FALSE)</f>
        <v>#N/A</v>
      </c>
    </row>
    <row r="13" spans="1:5">
      <c r="A13" s="114">
        <v>6</v>
      </c>
      <c r="B13" s="110" t="s">
        <v>115</v>
      </c>
      <c r="C13" s="105" t="str">
        <f>VLOOKUP(Table25755252691013434446474849565758596315181719224566677172737476777879939495100104109111113115117129[[#This Row],[PEG]],Table1016[#All],2,FALSE)</f>
        <v>0210-1.wav And the date of birth for the primary owner?</v>
      </c>
      <c r="D13" s="149">
        <v>210</v>
      </c>
      <c r="E13" s="122" t="str">
        <f>VLOOKUP(Table25755252691013434446474849565758596315181719224566677172737476777879939495100104109111113115117129[[#This Row],[PEG]],Table1016[#All],3,FALSE)</f>
        <v>MENU PROMPT</v>
      </c>
    </row>
    <row r="14" spans="1:5">
      <c r="A14" s="114">
        <v>7</v>
      </c>
      <c r="B14" s="110" t="s">
        <v>124</v>
      </c>
      <c r="C14" s="151" t="s">
        <v>610</v>
      </c>
      <c r="D14" s="149"/>
      <c r="E14" s="122" t="e">
        <f>VLOOKUP(Table25755252691013434446474849565758596315181719224566677172737476777879939495100104109111113115117129[[#This Row],[PEG]],Table1016[#All],3,FALSE)</f>
        <v>#N/A</v>
      </c>
    </row>
    <row r="15" spans="1:5" ht="30">
      <c r="A15" s="114">
        <v>8</v>
      </c>
      <c r="B15" s="110" t="s">
        <v>115</v>
      </c>
      <c r="C15" s="105" t="str">
        <f>VLOOKUP(Table25755252691013434446474849565758596315181719224566677172737476777879939495100104109111113115117129[[#This Row],[PEG]],Table1016[#All],2,FALSE)</f>
        <v>0220.wav I couldn't find an account matching the information you provided. Let's try one more time. What is your account number?</v>
      </c>
      <c r="D15" s="112">
        <v>220</v>
      </c>
      <c r="E15" s="122" t="str">
        <f>VLOOKUP(Table25755252691013434446474849565758596315181719224566677172737476777879939495100104109111113115117129[[#This Row],[PEG]],Table1016[#All],3,FALSE)</f>
        <v>MENU PROMPT</v>
      </c>
    </row>
    <row r="16" spans="1:5">
      <c r="A16" s="114">
        <v>9</v>
      </c>
      <c r="B16" s="110" t="s">
        <v>12</v>
      </c>
      <c r="C16" s="151" t="s">
        <v>609</v>
      </c>
      <c r="D16" s="112"/>
      <c r="E16" s="122" t="e">
        <f>VLOOKUP(Table25755252691013434446474849565758596315181719224566677172737476777879939495100104109111113115117129[[#This Row],[PEG]],Table1016[#All],3,FALSE)</f>
        <v>#N/A</v>
      </c>
    </row>
    <row r="17" spans="1:5">
      <c r="A17" s="114">
        <v>10</v>
      </c>
      <c r="B17" s="110" t="s">
        <v>115</v>
      </c>
      <c r="C17" s="105" t="str">
        <f>VLOOKUP(Table25755252691013434446474849565758596315181719224566677172737476777879939495100104109111113115117129[[#This Row],[PEG]],Table1016[#All],2,FALSE)</f>
        <v>Sorry.</v>
      </c>
      <c r="D17" s="113" t="s">
        <v>295</v>
      </c>
      <c r="E17" s="122" t="str">
        <f>VLOOKUP(Table25755252691013434446474849565758596315181719224566677172737476777879939495100104109111113115117129[[#This Row],[PEG]],Table1016[#All],3,FALSE)</f>
        <v>PLAY PROMPT</v>
      </c>
    </row>
    <row r="18" spans="1:5">
      <c r="A18" s="114">
        <v>11</v>
      </c>
      <c r="B18" s="110" t="s">
        <v>115</v>
      </c>
      <c r="C18" s="105" t="str">
        <f>VLOOKUP(Table25755252691013434446474849565758596315181719224566677172737476777879939495100104109111113115117129[[#This Row],[PEG]],Table1016[#All],2,FALSE)</f>
        <v>0220AccountRetry2.wav Please say or enter your account number.</v>
      </c>
      <c r="D18" s="112" t="s">
        <v>396</v>
      </c>
      <c r="E18" s="122">
        <f>VLOOKUP(Table25755252691013434446474849565758596315181719224566677172737476777879939495100104109111113115117129[[#This Row],[PEG]],Table1016[#All],3,FALSE)</f>
        <v>0</v>
      </c>
    </row>
    <row r="19" spans="1:5" s="93" customFormat="1">
      <c r="A19" s="114">
        <v>12</v>
      </c>
      <c r="B19" s="110" t="s">
        <v>12</v>
      </c>
      <c r="C19" s="151" t="s">
        <v>609</v>
      </c>
      <c r="D19" s="112"/>
      <c r="E19" s="122" t="e">
        <f>VLOOKUP(Table25755252691013434446474849565758596315181719224566677172737476777879939495100104109111113115117129[[#This Row],[PEG]],Table1016[#All],3,FALSE)</f>
        <v>#N/A</v>
      </c>
    </row>
    <row r="20" spans="1:5">
      <c r="A20" s="114">
        <v>13</v>
      </c>
      <c r="B20" s="110" t="s">
        <v>115</v>
      </c>
      <c r="C20" s="105" t="str">
        <f>VLOOKUP(Table25755252691013434446474849565758596315181719224566677172737476777879939495100104109111113115117129[[#This Row],[PEG]],Table1016[#All],2,FALSE)</f>
        <v>Sorry, I'm having trouble</v>
      </c>
      <c r="D20" s="113" t="s">
        <v>297</v>
      </c>
      <c r="E20" s="122" t="str">
        <f>VLOOKUP(Table25755252691013434446474849565758596315181719224566677172737476777879939495100104109111113115117129[[#This Row],[PEG]],Table1016[#All],3,FALSE)</f>
        <v>PLAY PROMPT</v>
      </c>
    </row>
    <row r="21" spans="1:5">
      <c r="A21" s="114">
        <v>14</v>
      </c>
      <c r="B21" s="110" t="s">
        <v>114</v>
      </c>
      <c r="C21" s="105" t="str">
        <f>VLOOKUP(Table25755252691013434446474849565758596315181719224566677172737476777879939495100104109111113115117129[[#This Row],[PEG]],Table1016[#All],2,FALSE)</f>
        <v>0900.wav Please hold, while I connect you to a customer service representative.</v>
      </c>
      <c r="D21" s="113">
        <v>900</v>
      </c>
      <c r="E21" s="122" t="str">
        <f>VLOOKUP(Table25755252691013434446474849565758596315181719224566677172737476777879939495100104109111113115117129[[#This Row],[PEG]],Table1016[#All],3,FALSE)</f>
        <v>PLAY PROMPT</v>
      </c>
    </row>
    <row r="22" spans="1:5">
      <c r="A22" s="114">
        <v>15</v>
      </c>
      <c r="B22" s="110" t="s">
        <v>12</v>
      </c>
      <c r="C22" s="105" t="str">
        <f>VLOOKUP(Table25755252691013434446474849565758596315181719224566677172737476777879939495100104109111113115117129[[#This Row],[PEG]],Table1016[#All],2,FALSE)</f>
        <v>XferNbr.wav Transfer Number &lt;TransferNbr&gt;</v>
      </c>
      <c r="D22" s="113" t="s">
        <v>480</v>
      </c>
      <c r="E22" s="122" t="str">
        <f>VLOOKUP(Table25755252691013434446474849565758596315181719224566677172737476777879939495100104109111113115117129[[#This Row],[PEG]],Table1016[#All],3,FALSE)</f>
        <v>TEST</v>
      </c>
    </row>
    <row r="23" spans="1:5">
      <c r="A23" s="114">
        <v>16</v>
      </c>
      <c r="B23" s="110" t="s">
        <v>13</v>
      </c>
      <c r="C23" s="17" t="s">
        <v>13</v>
      </c>
      <c r="D23" s="111"/>
      <c r="E23" s="31"/>
    </row>
  </sheetData>
  <mergeCells count="1">
    <mergeCell ref="A1:B1"/>
  </mergeCells>
  <conditionalFormatting sqref="B8 B14:B18">
    <cfRule type="containsText" dxfId="4367" priority="38" operator="containsText" text="Hear">
      <formula>NOT(ISERROR(SEARCH("Hear",B8)))</formula>
    </cfRule>
  </conditionalFormatting>
  <conditionalFormatting sqref="B20:B23">
    <cfRule type="containsText" dxfId="4366" priority="44" operator="containsText" text="Hear">
      <formula>NOT(ISERROR(SEARCH("Hear",B20)))</formula>
    </cfRule>
  </conditionalFormatting>
  <conditionalFormatting sqref="E23">
    <cfRule type="containsText" dxfId="4365" priority="42" operator="containsText" text="WEB SERVICE">
      <formula>NOT(ISERROR(SEARCH("WEB SERVICE",E23)))</formula>
    </cfRule>
    <cfRule type="containsText" dxfId="4364" priority="43" operator="containsText" text="DB">
      <formula>NOT(ISERROR(SEARCH("DB",E23)))</formula>
    </cfRule>
  </conditionalFormatting>
  <conditionalFormatting sqref="C23">
    <cfRule type="expression" dxfId="4363" priority="47">
      <formula>$B23="HANGUP"</formula>
    </cfRule>
  </conditionalFormatting>
  <conditionalFormatting sqref="C8">
    <cfRule type="expression" dxfId="4362" priority="36">
      <formula>$B8="Dial"</formula>
    </cfRule>
    <cfRule type="expression" dxfId="4361" priority="37">
      <formula>$B8="HANGUP"</formula>
    </cfRule>
  </conditionalFormatting>
  <conditionalFormatting sqref="B9:B11 B13">
    <cfRule type="containsText" dxfId="4360" priority="35" operator="containsText" text="Hear">
      <formula>NOT(ISERROR(SEARCH("Hear",B9)))</formula>
    </cfRule>
  </conditionalFormatting>
  <conditionalFormatting sqref="B12">
    <cfRule type="containsText" dxfId="4359" priority="34" operator="containsText" text="Hear">
      <formula>NOT(ISERROR(SEARCH("Hear",B12)))</formula>
    </cfRule>
  </conditionalFormatting>
  <conditionalFormatting sqref="B19">
    <cfRule type="containsText" dxfId="4358" priority="4" operator="containsText" text="Hear">
      <formula>NOT(ISERROR(SEARCH("Hear",B19)))</formula>
    </cfRule>
  </conditionalFormatting>
  <hyperlinks>
    <hyperlink ref="A1" location="'Test Case Overview'!A1" display="Return to Test Case Overview" xr:uid="{00000000-0004-0000-47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46" operator="containsText" text="DB" id="{D4B9A78A-A341-493A-990F-817E6E61ABBA}">
            <xm:f>NOT(ISERROR(SEARCH("DB",'TC1'!E10)))</xm:f>
            <x14:dxf>
              <font>
                <color rgb="FF006100"/>
              </font>
              <fill>
                <patternFill>
                  <bgColor rgb="FFC6EFCE"/>
                </patternFill>
              </fill>
            </x14:dxf>
          </x14:cfRule>
          <x14:cfRule type="containsText" priority="51" operator="containsText" text="WEB SERVICE" id="{8807406F-33DA-4FBE-97E1-90F3EB5612B2}">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725" id="{A6E4A480-61C5-48F9-A57F-D728E556A81D}">
            <xm:f>'TC1'!#REF!="HANGUP"</xm:f>
            <x14:dxf>
              <font>
                <b/>
                <i val="0"/>
              </font>
            </x14:dxf>
          </x14:cfRule>
          <x14:cfRule type="expression" priority="1726" id="{DC129306-33F5-4EF0-959E-60891A561973}">
            <xm:f>'TC1'!#REF!="Dial"</xm:f>
            <x14:dxf>
              <font>
                <b/>
                <i val="0"/>
                <color rgb="FFFF0000"/>
              </font>
            </x14:dxf>
          </x14:cfRule>
          <xm:sqref>C13 C15 C21:C22</xm:sqref>
        </x14:conditionalFormatting>
        <x14:conditionalFormatting xmlns:xm="http://schemas.microsoft.com/office/excel/2006/main">
          <x14:cfRule type="expression" priority="1731" id="{FEED2EC3-81C2-4E6B-BA2D-A21AA4D84858}">
            <xm:f>'TC1'!#REF!="Speak"</xm:f>
            <x14:dxf>
              <font>
                <b/>
                <i val="0"/>
                <color rgb="FFFF0000"/>
              </font>
            </x14:dxf>
          </x14:cfRule>
          <xm:sqref>C13 C15 C21:C22</xm:sqref>
        </x14:conditionalFormatting>
        <x14:conditionalFormatting xmlns:xm="http://schemas.microsoft.com/office/excel/2006/main">
          <x14:cfRule type="containsText" priority="1737" operator="containsText" text="DB" id="{D4B9A78A-A341-493A-990F-817E6E61ABBA}">
            <xm:f>NOT(ISERROR(SEARCH("DB",'TC1'!#REF!)))</xm:f>
            <x14:dxf>
              <font>
                <color rgb="FF006100"/>
              </font>
              <fill>
                <patternFill>
                  <bgColor rgb="FFC6EFCE"/>
                </patternFill>
              </fill>
            </x14:dxf>
          </x14:cfRule>
          <x14:cfRule type="containsText" priority="1738" operator="containsText" text="WEB SERVICE" id="{8807406F-33DA-4FBE-97E1-90F3EB5612B2}">
            <xm:f>NOT(ISERROR(SEARCH("WEB SERVICE",'TC1'!#REF!)))</xm:f>
            <x14:dxf>
              <font>
                <color rgb="FF9C0006"/>
              </font>
              <fill>
                <patternFill>
                  <bgColor rgb="FFFFC7CE"/>
                </patternFill>
              </fill>
            </x14:dxf>
          </x14:cfRule>
          <xm:sqref>E13:E18 E20:E22</xm:sqref>
        </x14:conditionalFormatting>
        <x14:conditionalFormatting xmlns:xm="http://schemas.microsoft.com/office/excel/2006/main">
          <x14:cfRule type="expression" priority="3963" id="{A6E4A480-61C5-48F9-A57F-D728E556A81D}">
            <xm:f>'TC1'!$B10="HANGUP"</xm:f>
            <x14:dxf>
              <font>
                <b/>
                <i val="0"/>
              </font>
            </x14:dxf>
          </x14:cfRule>
          <x14:cfRule type="expression" priority="3964" id="{DC129306-33F5-4EF0-959E-60891A561973}">
            <xm:f>'TC1'!$B10="Dial"</xm:f>
            <x14:dxf>
              <font>
                <b/>
                <i val="0"/>
                <color rgb="FFFF0000"/>
              </font>
            </x14:dxf>
          </x14:cfRule>
          <xm:sqref>C9:C11</xm:sqref>
        </x14:conditionalFormatting>
        <x14:conditionalFormatting xmlns:xm="http://schemas.microsoft.com/office/excel/2006/main">
          <x14:cfRule type="expression" priority="3966" id="{FEED2EC3-81C2-4E6B-BA2D-A21AA4D84858}">
            <xm:f>'TC1'!$B10="Speak"</xm:f>
            <x14:dxf>
              <font>
                <b/>
                <i val="0"/>
                <color rgb="FFFF0000"/>
              </font>
            </x14:dxf>
          </x14:cfRule>
          <xm:sqref>C9:C11</xm:sqref>
        </x14:conditionalFormatting>
        <x14:conditionalFormatting xmlns:xm="http://schemas.microsoft.com/office/excel/2006/main">
          <x14:cfRule type="expression" priority="31" id="{DAD174BB-C730-4F0F-83A1-55ABEE48CE47}">
            <xm:f>'\Users\deannah\Wyndham Testing\[Wyndham Destinations_TestCaseOverview_V3_Template.xlsx]TC1'!#REF!="HANGUP"</xm:f>
            <x14:dxf>
              <font>
                <b/>
                <i val="0"/>
              </font>
            </x14:dxf>
          </x14:cfRule>
          <x14:cfRule type="expression" priority="32" id="{578D6A2D-85B0-4241-8352-1F0443EBFD76}">
            <xm:f>'\Users\deannah\Wyndham Testing\[Wyndham Destinations_TestCaseOverview_V3_Template.xlsx]TC1'!#REF!="Dial"</xm:f>
            <x14:dxf>
              <font>
                <b/>
                <i val="0"/>
                <color rgb="FFFF0000"/>
              </font>
            </x14:dxf>
          </x14:cfRule>
          <xm:sqref>C12</xm:sqref>
        </x14:conditionalFormatting>
        <x14:conditionalFormatting xmlns:xm="http://schemas.microsoft.com/office/excel/2006/main">
          <x14:cfRule type="expression" priority="33" id="{9857D93F-35CB-4004-8BA9-E75EDCFEB8D3}">
            <xm:f>'\Users\deannah\Wyndham Testing\[Wyndham Destinations_TestCaseOverview_V3_Template.xlsx]TC1'!#REF!="Speak"</xm:f>
            <x14:dxf>
              <font>
                <b/>
                <i val="0"/>
                <color rgb="FFFF0000"/>
              </font>
            </x14:dxf>
          </x14:cfRule>
          <xm:sqref>C12</xm:sqref>
        </x14:conditionalFormatting>
        <x14:conditionalFormatting xmlns:xm="http://schemas.microsoft.com/office/excel/2006/main">
          <x14:cfRule type="expression" priority="28" id="{065735D9-61A2-4F34-B78A-798B97572C5A}">
            <xm:f>'\Users\deannah\Wyndham Testing\[Wyndham Destinations_TestCaseOverview_V3_Template.xlsx]TC1'!#REF!="HANGUP"</xm:f>
            <x14:dxf>
              <font>
                <b/>
                <i val="0"/>
              </font>
            </x14:dxf>
          </x14:cfRule>
          <x14:cfRule type="expression" priority="29" id="{7C6D3310-B722-4927-A552-D893735D23FE}">
            <xm:f>'\Users\deannah\Wyndham Testing\[Wyndham Destinations_TestCaseOverview_V3_Template.xlsx]TC1'!#REF!="Dial"</xm:f>
            <x14:dxf>
              <font>
                <b/>
                <i val="0"/>
                <color rgb="FFFF0000"/>
              </font>
            </x14:dxf>
          </x14:cfRule>
          <xm:sqref>C14</xm:sqref>
        </x14:conditionalFormatting>
        <x14:conditionalFormatting xmlns:xm="http://schemas.microsoft.com/office/excel/2006/main">
          <x14:cfRule type="expression" priority="30" id="{A4940BA6-6581-4A0E-A27F-5B09DF5D6313}">
            <xm:f>'\Users\deannah\Wyndham Testing\[Wyndham Destinations_TestCaseOverview_V3_Template.xlsx]TC1'!#REF!="Speak"</xm:f>
            <x14:dxf>
              <font>
                <b/>
                <i val="0"/>
                <color rgb="FFFF0000"/>
              </font>
            </x14:dxf>
          </x14:cfRule>
          <xm:sqref>C14</xm:sqref>
        </x14:conditionalFormatting>
        <x14:conditionalFormatting xmlns:xm="http://schemas.microsoft.com/office/excel/2006/main">
          <x14:cfRule type="expression" priority="22" id="{565FB666-7E3A-4BF7-B494-DFDCCD7191EB}">
            <xm:f>'\Users\deannah\Wyndham Testing\[Wyndham Destinations_TestCaseOverview_V3_Template.xlsx]TC1'!#REF!="HANGUP"</xm:f>
            <x14:dxf>
              <font>
                <b/>
                <i val="0"/>
              </font>
            </x14:dxf>
          </x14:cfRule>
          <x14:cfRule type="expression" priority="23" id="{8BD4A45F-59A7-48D9-B9B8-B9984C076C79}">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24" id="{83B83B3B-6909-4E0D-B6A4-AFC5B322CDD5}">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19" id="{2CC81088-4026-42D6-89F7-3A6980E62A0F}">
            <xm:f>'TC1'!#REF!="HANGUP"</xm:f>
            <x14:dxf>
              <font>
                <b/>
                <i val="0"/>
              </font>
            </x14:dxf>
          </x14:cfRule>
          <x14:cfRule type="expression" priority="20" id="{B39E9BBA-258E-44BB-BEAF-B2E5F5ED5BA3}">
            <xm:f>'TC1'!#REF!="Dial"</xm:f>
            <x14:dxf>
              <font>
                <b/>
                <i val="0"/>
                <color rgb="FFFF0000"/>
              </font>
            </x14:dxf>
          </x14:cfRule>
          <xm:sqref>C17</xm:sqref>
        </x14:conditionalFormatting>
        <x14:conditionalFormatting xmlns:xm="http://schemas.microsoft.com/office/excel/2006/main">
          <x14:cfRule type="expression" priority="21" id="{A52E6AB5-7A55-4004-8F99-0DA0B56F5163}">
            <xm:f>'TC1'!#REF!="Speak"</xm:f>
            <x14:dxf>
              <font>
                <b/>
                <i val="0"/>
                <color rgb="FFFF0000"/>
              </font>
            </x14:dxf>
          </x14:cfRule>
          <xm:sqref>C17</xm:sqref>
        </x14:conditionalFormatting>
        <x14:conditionalFormatting xmlns:xm="http://schemas.microsoft.com/office/excel/2006/main">
          <x14:cfRule type="expression" priority="13" id="{FF347339-E5EC-496A-BA6B-181FF2EB7BAA}">
            <xm:f>'TC1'!#REF!="HANGUP"</xm:f>
            <x14:dxf>
              <font>
                <b/>
                <i val="0"/>
              </font>
            </x14:dxf>
          </x14:cfRule>
          <x14:cfRule type="expression" priority="14" id="{A3D6AF00-54A6-4C8E-AA6C-06D2883AEC45}">
            <xm:f>'TC1'!#REF!="Dial"</xm:f>
            <x14:dxf>
              <font>
                <b/>
                <i val="0"/>
                <color rgb="FFFF0000"/>
              </font>
            </x14:dxf>
          </x14:cfRule>
          <xm:sqref>C18</xm:sqref>
        </x14:conditionalFormatting>
        <x14:conditionalFormatting xmlns:xm="http://schemas.microsoft.com/office/excel/2006/main">
          <x14:cfRule type="expression" priority="15" id="{BCD53E44-CBCA-4E66-9E24-10F8D1A8B5E4}">
            <xm:f>'TC1'!#REF!="Speak"</xm:f>
            <x14:dxf>
              <font>
                <b/>
                <i val="0"/>
                <color rgb="FFFF0000"/>
              </font>
            </x14:dxf>
          </x14:cfRule>
          <xm:sqref>C18</xm:sqref>
        </x14:conditionalFormatting>
        <x14:conditionalFormatting xmlns:xm="http://schemas.microsoft.com/office/excel/2006/main">
          <x14:cfRule type="expression" priority="7" id="{00678500-62B2-4F83-962C-6A312743E7E2}">
            <xm:f>'TC1'!#REF!="HANGUP"</xm:f>
            <x14:dxf>
              <font>
                <b/>
                <i val="0"/>
              </font>
            </x14:dxf>
          </x14:cfRule>
          <x14:cfRule type="expression" priority="8" id="{FF8DFD8A-5A65-48E7-8BFD-FDE8EF1F887A}">
            <xm:f>'TC1'!#REF!="Dial"</xm:f>
            <x14:dxf>
              <font>
                <b/>
                <i val="0"/>
                <color rgb="FFFF0000"/>
              </font>
            </x14:dxf>
          </x14:cfRule>
          <xm:sqref>C20</xm:sqref>
        </x14:conditionalFormatting>
        <x14:conditionalFormatting xmlns:xm="http://schemas.microsoft.com/office/excel/2006/main">
          <x14:cfRule type="expression" priority="9" id="{F8C6753E-B2B8-45F7-B86B-385C7F95B1D5}">
            <xm:f>'TC1'!#REF!="Speak"</xm:f>
            <x14:dxf>
              <font>
                <b/>
                <i val="0"/>
                <color rgb="FFFF0000"/>
              </font>
            </x14:dxf>
          </x14:cfRule>
          <xm:sqref>C20</xm:sqref>
        </x14:conditionalFormatting>
        <x14:conditionalFormatting xmlns:xm="http://schemas.microsoft.com/office/excel/2006/main">
          <x14:cfRule type="containsText" priority="5" operator="containsText" text="DB" id="{51E98075-B159-4EC0-A660-2C16981DD477}">
            <xm:f>NOT(ISERROR(SEARCH("DB",'TC1'!#REF!)))</xm:f>
            <x14:dxf>
              <font>
                <color rgb="FF006100"/>
              </font>
              <fill>
                <patternFill>
                  <bgColor rgb="FFC6EFCE"/>
                </patternFill>
              </fill>
            </x14:dxf>
          </x14:cfRule>
          <x14:cfRule type="containsText" priority="6" operator="containsText" text="WEB SERVICE" id="{A360EA84-FF58-45C6-9E07-06E633B25E05}">
            <xm:f>NOT(ISERROR(SEARCH("WEB SERVICE",'TC1'!#REF!)))</xm:f>
            <x14:dxf>
              <font>
                <color rgb="FF9C0006"/>
              </font>
              <fill>
                <patternFill>
                  <bgColor rgb="FFFFC7CE"/>
                </patternFill>
              </fill>
            </x14:dxf>
          </x14:cfRule>
          <xm:sqref>E19</xm:sqref>
        </x14:conditionalFormatting>
        <x14:conditionalFormatting xmlns:xm="http://schemas.microsoft.com/office/excel/2006/main">
          <x14:cfRule type="expression" priority="1" id="{0F3251F1-9A77-45B9-B375-DC294CB14868}">
            <xm:f>'\Users\deannah\Wyndham Testing\[Wyndham Destinations_TestCaseOverview_V3_Template.xlsx]TC1'!#REF!="HANGUP"</xm:f>
            <x14:dxf>
              <font>
                <b/>
                <i val="0"/>
              </font>
            </x14:dxf>
          </x14:cfRule>
          <x14:cfRule type="expression" priority="2" id="{7F7E79D8-A73E-4EE4-8C30-152813D50D3A}">
            <xm:f>'\Users\deannah\Wyndham Testing\[Wyndham Destinations_TestCaseOverview_V3_Template.xlsx]TC1'!#REF!="Dial"</xm:f>
            <x14:dxf>
              <font>
                <b/>
                <i val="0"/>
                <color rgb="FFFF0000"/>
              </font>
            </x14:dxf>
          </x14:cfRule>
          <xm:sqref>C19</xm:sqref>
        </x14:conditionalFormatting>
        <x14:conditionalFormatting xmlns:xm="http://schemas.microsoft.com/office/excel/2006/main">
          <x14:cfRule type="expression" priority="3" id="{EBE0E4DF-36EE-4BD9-9FED-C481E0327D7F}">
            <xm:f>'\Users\deannah\Wyndham Testing\[Wyndham Destinations_TestCaseOverview_V3_Template.xlsx]TC1'!#REF!="Speak"</xm:f>
            <x14:dxf>
              <font>
                <b/>
                <i val="0"/>
                <color rgb="FFFF0000"/>
              </font>
            </x14:dxf>
          </x14:cfRule>
          <xm:sqref>C19</xm:sqref>
        </x14:conditionalFormatting>
      </x14:conditionalFormatting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4"/>
  <dimension ref="A1:E21"/>
  <sheetViews>
    <sheetView zoomScaleNormal="100" workbookViewId="0">
      <selection sqref="A1:B1"/>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TC72</v>
      </c>
      <c r="C2" s="94"/>
      <c r="D2" s="107"/>
      <c r="E2" s="93"/>
    </row>
    <row r="3" spans="1:5">
      <c r="A3" s="100" t="s">
        <v>19</v>
      </c>
      <c r="B3" s="108">
        <f ca="1">VLOOKUP(B2,Table1[#All],2,FALSE)</f>
        <v>0</v>
      </c>
      <c r="C3" s="94"/>
      <c r="D3" s="107"/>
      <c r="E3" s="93"/>
    </row>
    <row r="4" spans="1:5" ht="30">
      <c r="A4" s="109" t="s">
        <v>20</v>
      </c>
      <c r="B4" s="95" t="str">
        <f ca="1">VLOOKUP(B2,Table1[#All],4,FALSE)</f>
        <v>TITLE SVCS</v>
      </c>
      <c r="C4" s="94"/>
      <c r="D4" s="107"/>
      <c r="E4" s="93"/>
    </row>
    <row r="5" spans="1:5" ht="30">
      <c r="A5" s="100" t="s">
        <v>6</v>
      </c>
      <c r="B5" s="89" t="str">
        <f ca="1">VLOOKUP(B2,Table1[#All],3,FALSE)</f>
        <v>CallStart Main Menu /Title /no input no match at peg 300/ Xfer</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VLOOKUP(Table25755252691013434446474849565758596315181719224566677172737476777879939495100104109111113115117131[[#This Row],[PEG]],Table1016[#All],2,FALSE)</f>
        <v>CallID.wav Call ID &lt;CallID&gt;</v>
      </c>
      <c r="D9" s="149" t="s">
        <v>477</v>
      </c>
      <c r="E9" s="122" t="str">
        <f>VLOOKUP(Table25755252691013434446474849565758596315181719224566677172737476777879939495100104109111113115117131[[#This Row],[PEG]],Table1016[#All],3,FALSE)</f>
        <v>TEST</v>
      </c>
    </row>
    <row r="10" spans="1:5" ht="30">
      <c r="A10" s="114">
        <v>3</v>
      </c>
      <c r="B10" s="110" t="s">
        <v>115</v>
      </c>
      <c r="C10" s="105" t="str">
        <f>VLOOKUP(Table25755252691013434446474849565758596315181719224566677172737476777879939495100104109111113115117131[[#This Row],[PEG]],Table1016[#All],2,FALSE)</f>
        <v>0100.wav Thank you for calling Shell vacations Club, we are glad you called. Please have your account number available for faster service. [To continue in Spanish, press 9]</v>
      </c>
      <c r="D10" s="149">
        <v>100</v>
      </c>
      <c r="E10" s="122" t="str">
        <f>VLOOKUP(Table25755252691013434446474849565758596315181719224566677172737476777879939495100104109111113115117131[[#This Row],[PEG]],Table1016[#All],3,FALSE)</f>
        <v>PLAY PROMPT</v>
      </c>
    </row>
    <row r="11" spans="1:5" ht="30">
      <c r="A11" s="114">
        <v>4</v>
      </c>
      <c r="B11" s="110" t="s">
        <v>115</v>
      </c>
      <c r="C11" s="105" t="str">
        <f>VLOOKUP(Table25755252691013434446474849565758596315181719224566677172737476777879939495100104109111113115117131[[#This Row],[PEG]],Table1016[#All],2,FALSE)</f>
        <v>0110-1.wav Which would you like? You can say... reservations, payments &amp; statements, title &amp; ownership changes, or more options.</v>
      </c>
      <c r="D11" s="149">
        <v>110</v>
      </c>
      <c r="E11" s="122" t="str">
        <f>VLOOKUP(Table25755252691013434446474849565758596315181719224566677172737476777879939495100104109111113115117131[[#This Row],[PEG]],Table1016[#All],3,FALSE)</f>
        <v>MENU PROMPT</v>
      </c>
    </row>
    <row r="12" spans="1:5">
      <c r="A12" s="114">
        <v>5</v>
      </c>
      <c r="B12" s="110" t="s">
        <v>124</v>
      </c>
      <c r="C12" s="158" t="s">
        <v>2</v>
      </c>
      <c r="D12" s="149"/>
      <c r="E12" s="122" t="e">
        <f>VLOOKUP(Table25755252691013434446474849565758596315181719224566677172737476777879939495100104109111113115117131[[#This Row],[PEG]],Table1016[#All],3,FALSE)</f>
        <v>#N/A</v>
      </c>
    </row>
    <row r="13" spans="1:5" ht="30">
      <c r="A13" s="114">
        <v>6</v>
      </c>
      <c r="B13" s="110" t="s">
        <v>115</v>
      </c>
      <c r="C13" s="105" t="str">
        <f>VLOOKUP(Table25755252691013434446474849565758596315181719224566677172737476777879939495100104109111113115117131[[#This Row],[PEG]],Table1016[#All],2,FALSE)</f>
        <v>0300-1.wav You can say ownership changes, check status, make a payment, or help me with something else. Which would you like?</v>
      </c>
      <c r="D13" s="149">
        <v>300</v>
      </c>
      <c r="E13" s="122" t="str">
        <f>VLOOKUP(Table25755252691013434446474849565758596315181719224566677172737476777879939495100104109111113115117131[[#This Row],[PEG]],Table1016[#All],3,FALSE)</f>
        <v>MENU PROMPT</v>
      </c>
    </row>
    <row r="14" spans="1:5">
      <c r="A14" s="114">
        <v>7</v>
      </c>
      <c r="B14" s="110" t="s">
        <v>12</v>
      </c>
      <c r="C14" s="151" t="s">
        <v>607</v>
      </c>
      <c r="D14" s="149"/>
      <c r="E14" s="122" t="e">
        <f>VLOOKUP(Table25755252691013434446474849565758596315181719224566677172737476777879939495100104109111113115117131[[#This Row],[PEG]],Table1016[#All],3,FALSE)</f>
        <v>#N/A</v>
      </c>
    </row>
    <row r="15" spans="1:5">
      <c r="A15" s="114">
        <v>8</v>
      </c>
      <c r="B15" s="110" t="s">
        <v>115</v>
      </c>
      <c r="C15" s="105" t="str">
        <f>VLOOKUP(Table25755252691013434446474849565758596315181719224566677172737476777879939495100104109111113115117131[[#This Row],[PEG]],Table1016[#All],2,FALSE)</f>
        <v>Sorry.</v>
      </c>
      <c r="D15" s="164" t="s">
        <v>295</v>
      </c>
      <c r="E15" s="122" t="str">
        <f>VLOOKUP(Table25755252691013434446474849565758596315181719224566677172737476777879939495100104109111113115117131[[#This Row],[PEG]],Table1016[#All],3,FALSE)</f>
        <v>PLAY PROMPT</v>
      </c>
    </row>
    <row r="16" spans="1:5" ht="30">
      <c r="A16" s="114">
        <v>9</v>
      </c>
      <c r="B16" s="110" t="s">
        <v>12</v>
      </c>
      <c r="C16" s="105" t="str">
        <f>VLOOKUP(Table25755252691013434446474849565758596315181719224566677172737476777879939495100104109111113115117131[[#This Row],[PEG]],Table1016[#All],2,FALSE)</f>
        <v>0300TitleSvcsMenuRetry.wav To change ownership, press 1. Check the staus of a transfer that is already in progress, 2. Make a payment, 3. Something else 4. To speak to a representative, press 0.</v>
      </c>
      <c r="D16" s="112" t="s">
        <v>379</v>
      </c>
      <c r="E16" s="122" t="str">
        <f>VLOOKUP(Table25755252691013434446474849565758596315181719224566677172737476777879939495100104109111113115117131[[#This Row],[PEG]],Table1016[#All],3,FALSE)</f>
        <v>MENU PROMPT</v>
      </c>
    </row>
    <row r="17" spans="1:5">
      <c r="A17" s="114">
        <v>10</v>
      </c>
      <c r="B17" s="110" t="s">
        <v>114</v>
      </c>
      <c r="C17" s="105" t="s">
        <v>1</v>
      </c>
      <c r="D17" s="113"/>
      <c r="E17" s="122" t="e">
        <f>VLOOKUP(Table25755252691013434446474849565758596315181719224566677172737476777879939495100104109111113115117131[[#This Row],[PEG]],Table1016[#All],3,FALSE)</f>
        <v>#N/A</v>
      </c>
    </row>
    <row r="18" spans="1:5">
      <c r="A18" s="114">
        <v>11</v>
      </c>
      <c r="B18" s="110" t="s">
        <v>115</v>
      </c>
      <c r="C18" s="105" t="str">
        <f>VLOOKUP(Table25755252691013434446474849565758596315181719224566677172737476777879939495100104109111113115117131[[#This Row],[PEG]],Table1016[#All],2,FALSE)</f>
        <v>Sorry, I'm having trouble</v>
      </c>
      <c r="D18" s="164" t="s">
        <v>297</v>
      </c>
      <c r="E18" s="122" t="str">
        <f>VLOOKUP(Table25755252691013434446474849565758596315181719224566677172737476777879939495100104109111113115117131[[#This Row],[PEG]],Table1016[#All],3,FALSE)</f>
        <v>PLAY PROMPT</v>
      </c>
    </row>
    <row r="19" spans="1:5">
      <c r="A19" s="114">
        <v>12</v>
      </c>
      <c r="B19" s="110" t="s">
        <v>115</v>
      </c>
      <c r="C19" s="105" t="str">
        <f>VLOOKUP(Table25755252691013434446474849565758596315181719224566677172737476777879939495100104109111113115117131[[#This Row],[PEG]],Table1016[#All],2,FALSE)</f>
        <v>0900.wav Please hold, while I connect you to a customer service representative.</v>
      </c>
      <c r="D19" s="113">
        <v>900</v>
      </c>
      <c r="E19" s="122" t="str">
        <f>VLOOKUP(Table25755252691013434446474849565758596315181719224566677172737476777879939495100104109111113115117131[[#This Row],[PEG]],Table1016[#All],3,FALSE)</f>
        <v>PLAY PROMPT</v>
      </c>
    </row>
    <row r="20" spans="1:5">
      <c r="A20" s="114">
        <v>13</v>
      </c>
      <c r="B20" s="110" t="s">
        <v>114</v>
      </c>
      <c r="C20" s="105" t="str">
        <f>VLOOKUP(Table25755252691013434446474849565758596315181719224566677172737476777879939495100104109111113115117131[[#This Row],[PEG]],Table1016[#All],2,FALSE)</f>
        <v>XferNbr.wav Transfer Number &lt;TransferNbr&gt;</v>
      </c>
      <c r="D20" s="113" t="s">
        <v>480</v>
      </c>
      <c r="E20" s="122" t="str">
        <f>VLOOKUP(Table25755252691013434446474849565758596315181719224566677172737476777879939495100104109111113115117131[[#This Row],[PEG]],Table1016[#All],3,FALSE)</f>
        <v>TEST</v>
      </c>
    </row>
    <row r="21" spans="1:5">
      <c r="A21" s="114">
        <v>14</v>
      </c>
      <c r="B21" s="110" t="s">
        <v>13</v>
      </c>
      <c r="C21" s="17" t="s">
        <v>13</v>
      </c>
      <c r="D21" s="111"/>
      <c r="E21" s="31"/>
    </row>
  </sheetData>
  <mergeCells count="1">
    <mergeCell ref="A1:B1"/>
  </mergeCells>
  <conditionalFormatting sqref="B8:B18">
    <cfRule type="containsText" dxfId="4315" priority="1" operator="containsText" text="Hear">
      <formula>NOT(ISERROR(SEARCH("Hear",B8)))</formula>
    </cfRule>
  </conditionalFormatting>
  <conditionalFormatting sqref="B19:B21">
    <cfRule type="containsText" dxfId="4314" priority="7" operator="containsText" text="Hear">
      <formula>NOT(ISERROR(SEARCH("Hear",B19)))</formula>
    </cfRule>
  </conditionalFormatting>
  <conditionalFormatting sqref="E21">
    <cfRule type="containsText" dxfId="4313" priority="5" operator="containsText" text="WEB SERVICE">
      <formula>NOT(ISERROR(SEARCH("WEB SERVICE",E21)))</formula>
    </cfRule>
    <cfRule type="containsText" dxfId="4312" priority="6" operator="containsText" text="DB">
      <formula>NOT(ISERROR(SEARCH("DB",E21)))</formula>
    </cfRule>
  </conditionalFormatting>
  <conditionalFormatting sqref="C21">
    <cfRule type="expression" dxfId="4311" priority="10">
      <formula>$B21="HANGUP"</formula>
    </cfRule>
  </conditionalFormatting>
  <hyperlinks>
    <hyperlink ref="A1" location="'Test Case Overview'!A1" display="Return to Test Case Overview" xr:uid="{00000000-0004-0000-48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1" id="{A843BD21-F6F7-4F73-81A6-6B9E3459F8AF}">
            <xm:f>'TC1'!$B8="HANGUP"</xm:f>
            <x14:dxf>
              <font>
                <b/>
                <i val="0"/>
              </font>
            </x14:dxf>
          </x14:cfRule>
          <x14:cfRule type="expression" priority="12" id="{140125A8-FB36-497E-9CF9-B5CE8F7F5585}">
            <xm:f>'TC1'!$B8="Dial"</xm:f>
            <x14:dxf>
              <font>
                <b/>
                <i val="0"/>
                <color rgb="FFFF0000"/>
              </font>
            </x14:dxf>
          </x14:cfRule>
          <xm:sqref>C8</xm:sqref>
        </x14:conditionalFormatting>
        <x14:conditionalFormatting xmlns:xm="http://schemas.microsoft.com/office/excel/2006/main">
          <x14:cfRule type="expression" priority="13" id="{3E9F3BCD-D926-4CFE-9E55-AF91E3EF8797}">
            <xm:f>'TC1'!$B8="Speak"</xm:f>
            <x14:dxf>
              <font>
                <b/>
                <i val="0"/>
                <color rgb="FFFF0000"/>
              </font>
            </x14:dxf>
          </x14:cfRule>
          <xm:sqref>C8</xm:sqref>
        </x14:conditionalFormatting>
        <x14:conditionalFormatting xmlns:xm="http://schemas.microsoft.com/office/excel/2006/main">
          <x14:cfRule type="containsText" priority="9" operator="containsText" text="DB" id="{A1D96F75-9B14-44B9-A66A-705470FB0A18}">
            <xm:f>NOT(ISERROR(SEARCH("DB",'TC1'!E10)))</xm:f>
            <x14:dxf>
              <font>
                <color rgb="FF006100"/>
              </font>
              <fill>
                <patternFill>
                  <bgColor rgb="FFC6EFCE"/>
                </patternFill>
              </fill>
            </x14:dxf>
          </x14:cfRule>
          <x14:cfRule type="containsText" priority="14" operator="containsText" text="WEB SERVICE" id="{9B2C62E8-703E-4FFE-AEBF-710FFFD7B47A}">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708" id="{A843BD21-F6F7-4F73-81A6-6B9E3459F8AF}">
            <xm:f>'TC1'!#REF!="HANGUP"</xm:f>
            <x14:dxf>
              <font>
                <b/>
                <i val="0"/>
              </font>
            </x14:dxf>
          </x14:cfRule>
          <x14:cfRule type="expression" priority="1709" id="{140125A8-FB36-497E-9CF9-B5CE8F7F5585}">
            <xm:f>'TC1'!#REF!="Dial"</xm:f>
            <x14:dxf>
              <font>
                <b/>
                <i val="0"/>
                <color rgb="FFFF0000"/>
              </font>
            </x14:dxf>
          </x14:cfRule>
          <xm:sqref>C13:C20</xm:sqref>
        </x14:conditionalFormatting>
        <x14:conditionalFormatting xmlns:xm="http://schemas.microsoft.com/office/excel/2006/main">
          <x14:cfRule type="expression" priority="1714" id="{3E9F3BCD-D926-4CFE-9E55-AF91E3EF8797}">
            <xm:f>'TC1'!#REF!="Speak"</xm:f>
            <x14:dxf>
              <font>
                <b/>
                <i val="0"/>
                <color rgb="FFFF0000"/>
              </font>
            </x14:dxf>
          </x14:cfRule>
          <xm:sqref>C13:C20</xm:sqref>
        </x14:conditionalFormatting>
        <x14:conditionalFormatting xmlns:xm="http://schemas.microsoft.com/office/excel/2006/main">
          <x14:cfRule type="containsText" priority="1720" operator="containsText" text="DB" id="{A1D96F75-9B14-44B9-A66A-705470FB0A18}">
            <xm:f>NOT(ISERROR(SEARCH("DB",'TC1'!#REF!)))</xm:f>
            <x14:dxf>
              <font>
                <color rgb="FF006100"/>
              </font>
              <fill>
                <patternFill>
                  <bgColor rgb="FFC6EFCE"/>
                </patternFill>
              </fill>
            </x14:dxf>
          </x14:cfRule>
          <x14:cfRule type="containsText" priority="1721" operator="containsText" text="WEB SERVICE" id="{9B2C62E8-703E-4FFE-AEBF-710FFFD7B47A}">
            <xm:f>NOT(ISERROR(SEARCH("WEB SERVICE",'TC1'!#REF!)))</xm:f>
            <x14:dxf>
              <font>
                <color rgb="FF9C0006"/>
              </font>
              <fill>
                <patternFill>
                  <bgColor rgb="FFFFC7CE"/>
                </patternFill>
              </fill>
            </x14:dxf>
          </x14:cfRule>
          <xm:sqref>E13:E20</xm:sqref>
        </x14:conditionalFormatting>
        <x14:conditionalFormatting xmlns:xm="http://schemas.microsoft.com/office/excel/2006/main">
          <x14:cfRule type="expression" priority="3934" id="{A843BD21-F6F7-4F73-81A6-6B9E3459F8AF}">
            <xm:f>'TC1'!$B10="HANGUP"</xm:f>
            <x14:dxf>
              <font>
                <b/>
                <i val="0"/>
              </font>
            </x14:dxf>
          </x14:cfRule>
          <x14:cfRule type="expression" priority="3935" id="{140125A8-FB36-497E-9CF9-B5CE8F7F5585}">
            <xm:f>'TC1'!$B10="Dial"</xm:f>
            <x14:dxf>
              <font>
                <b/>
                <i val="0"/>
                <color rgb="FFFF0000"/>
              </font>
            </x14:dxf>
          </x14:cfRule>
          <xm:sqref>C9:C12</xm:sqref>
        </x14:conditionalFormatting>
        <x14:conditionalFormatting xmlns:xm="http://schemas.microsoft.com/office/excel/2006/main">
          <x14:cfRule type="expression" priority="3937" id="{3E9F3BCD-D926-4CFE-9E55-AF91E3EF8797}">
            <xm:f>'TC1'!$B10="Speak"</xm:f>
            <x14:dxf>
              <font>
                <b/>
                <i val="0"/>
                <color rgb="FFFF0000"/>
              </font>
            </x14:dxf>
          </x14:cfRule>
          <xm:sqref>C9:C12</xm:sqref>
        </x14:conditionalFormatting>
      </x14:conditionalFormattings>
    </ext>
  </extLs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5"/>
  <dimension ref="A1:E27"/>
  <sheetViews>
    <sheetView zoomScaleNormal="100" workbookViewId="0">
      <selection activeCell="C5" sqref="C5"/>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TC73</v>
      </c>
      <c r="C2" s="94"/>
      <c r="D2" s="107"/>
      <c r="E2" s="93"/>
    </row>
    <row r="3" spans="1:5">
      <c r="A3" s="100" t="s">
        <v>19</v>
      </c>
      <c r="B3" s="108">
        <f ca="1">VLOOKUP(B2,Table1[#All],2,FALSE)</f>
        <v>0</v>
      </c>
      <c r="C3" s="94"/>
      <c r="D3" s="107"/>
      <c r="E3" s="93"/>
    </row>
    <row r="4" spans="1:5" ht="30">
      <c r="A4" s="109" t="s">
        <v>20</v>
      </c>
      <c r="B4" s="95" t="str">
        <f ca="1">VLOOKUP(B2,Table1[#All],4,FALSE)</f>
        <v>CHECK STATUS</v>
      </c>
      <c r="C4" s="94"/>
      <c r="D4" s="107"/>
      <c r="E4" s="93"/>
    </row>
    <row r="5" spans="1:5" ht="30">
      <c r="A5" s="100" t="s">
        <v>6</v>
      </c>
      <c r="B5" s="89" t="str">
        <f ca="1">VLOOKUP(B2,Table1[#All],3,FALSE)</f>
        <v>CallStart Main Menu /Title /CheckStatus peg 310 no input 2X/ Xfer</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VLOOKUP(Table25755252691013434446474849565758596315181719224566677172737476777879939495100104109111113115117133[[#This Row],[PEG]],Table1016[#All],2,FALSE)</f>
        <v>CallID.wav Call ID &lt;CallID&gt;</v>
      </c>
      <c r="D9" s="149" t="s">
        <v>477</v>
      </c>
      <c r="E9" s="122" t="str">
        <f>VLOOKUP(Table25755252691013434446474849565758596315181719224566677172737476777879939495100104109111113115117133[[#This Row],[PEG]],Table1016[#All],3,FALSE)</f>
        <v>TEST</v>
      </c>
    </row>
    <row r="10" spans="1:5" ht="30">
      <c r="A10" s="114">
        <v>3</v>
      </c>
      <c r="B10" s="110" t="s">
        <v>115</v>
      </c>
      <c r="C10" s="105" t="str">
        <f>VLOOKUP(Table25755252691013434446474849565758596315181719224566677172737476777879939495100104109111113115117133[[#This Row],[PEG]],Table1016[#All],2,FALSE)</f>
        <v>0100.wav Thank you for calling Shell vacations Club, we are glad you called. Please have your account number available for faster service. [To continue in Spanish, press 9]</v>
      </c>
      <c r="D10" s="145">
        <v>100</v>
      </c>
      <c r="E10" s="122" t="str">
        <f>VLOOKUP(Table25755252691013434446474849565758596315181719224566677172737476777879939495100104109111113115117133[[#This Row],[PEG]],Table1016[#All],3,FALSE)</f>
        <v>PLAY PROMPT</v>
      </c>
    </row>
    <row r="11" spans="1:5" ht="30">
      <c r="A11" s="114">
        <v>4</v>
      </c>
      <c r="B11" s="110" t="s">
        <v>115</v>
      </c>
      <c r="C11" s="105" t="str">
        <f>VLOOKUP(Table25755252691013434446474849565758596315181719224566677172737476777879939495100104109111113115117133[[#This Row],[PEG]],Table1016[#All],2,FALSE)</f>
        <v>0110-1.wav Which would you like? You can say... reservations, payments &amp; statements, title &amp; ownership changes, or more options.</v>
      </c>
      <c r="D11" s="145">
        <v>110</v>
      </c>
      <c r="E11" s="122" t="str">
        <f>VLOOKUP(Table25755252691013434446474849565758596315181719224566677172737476777879939495100104109111113115117133[[#This Row],[PEG]],Table1016[#All],3,FALSE)</f>
        <v>MENU PROMPT</v>
      </c>
    </row>
    <row r="12" spans="1:5">
      <c r="A12" s="114">
        <v>5</v>
      </c>
      <c r="B12" s="110" t="s">
        <v>124</v>
      </c>
      <c r="C12" s="158" t="s">
        <v>2</v>
      </c>
      <c r="D12" s="145"/>
      <c r="E12" s="122" t="e">
        <f>VLOOKUP(Table25755252691013434446474849565758596315181719224566677172737476777879939495100104109111113115117133[[#This Row],[PEG]],Table1016[#All],3,FALSE)</f>
        <v>#N/A</v>
      </c>
    </row>
    <row r="13" spans="1:5" ht="30">
      <c r="A13" s="114">
        <v>6</v>
      </c>
      <c r="B13" s="110" t="s">
        <v>115</v>
      </c>
      <c r="C13" s="105" t="str">
        <f>VLOOKUP(Table25755252691013434446474849565758596315181719224566677172737476777879939495100104109111113115117133[[#This Row],[PEG]],Table1016[#All],2,FALSE)</f>
        <v>0300-1.wav You can say ownership changes, check status, make a payment, or help me with something else. Which would you like?</v>
      </c>
      <c r="D13" s="145">
        <v>300</v>
      </c>
      <c r="E13" s="122" t="str">
        <f>VLOOKUP(Table25755252691013434446474849565758596315181719224566677172737476777879939495100104109111113115117133[[#This Row],[PEG]],Table1016[#All],3,FALSE)</f>
        <v>MENU PROMPT</v>
      </c>
    </row>
    <row r="14" spans="1:5">
      <c r="A14" s="114">
        <v>7</v>
      </c>
      <c r="B14" s="110" t="s">
        <v>124</v>
      </c>
      <c r="C14" s="151" t="s">
        <v>492</v>
      </c>
      <c r="D14" s="112"/>
      <c r="E14" s="122" t="e">
        <f>VLOOKUP(Table25755252691013434446474849565758596315181719224566677172737476777879939495100104109111113115117133[[#This Row],[PEG]],Table1016[#All],3,FALSE)</f>
        <v>#N/A</v>
      </c>
    </row>
    <row r="15" spans="1:5">
      <c r="A15" s="114">
        <v>8</v>
      </c>
      <c r="B15" s="110" t="s">
        <v>115</v>
      </c>
      <c r="C15" s="105" t="str">
        <f>VLOOKUP(Table25755252691013434446474849565758596315181719224566677172737476777879939495100104109111113115117133[[#This Row],[PEG]],Table1016[#All],2,FALSE)</f>
        <v>0200-1.wav To get started, what is your account number?</v>
      </c>
      <c r="D15" s="112">
        <v>200</v>
      </c>
      <c r="E15" s="122" t="str">
        <f>VLOOKUP(Table25755252691013434446474849565758596315181719224566677172737476777879939495100104109111113115117133[[#This Row],[PEG]],Table1016[#All],3,FALSE)</f>
        <v>MENU PROMPT</v>
      </c>
    </row>
    <row r="16" spans="1:5">
      <c r="A16" s="114">
        <v>9</v>
      </c>
      <c r="B16" s="110" t="s">
        <v>124</v>
      </c>
      <c r="C16" s="151" t="s">
        <v>515</v>
      </c>
      <c r="D16" s="113"/>
      <c r="E16" s="122" t="e">
        <f>VLOOKUP(Table25755252691013434446474849565758596315181719224566677172737476777879939495100104109111113115117133[[#This Row],[PEG]],Table1016[#All],3,FALSE)</f>
        <v>#N/A</v>
      </c>
    </row>
    <row r="17" spans="1:5">
      <c r="A17" s="114">
        <v>10</v>
      </c>
      <c r="B17" s="110" t="s">
        <v>115</v>
      </c>
      <c r="C17" s="105" t="str">
        <f>VLOOKUP(Table25755252691013434446474849565758596315181719224566677172737476777879939495100104109111113115117133[[#This Row],[PEG]],Table1016[#All],2,FALSE)</f>
        <v>0210-1.wav And the date of birth for the primary owner?</v>
      </c>
      <c r="D17" s="113">
        <v>210</v>
      </c>
      <c r="E17" s="122" t="str">
        <f>VLOOKUP(Table25755252691013434446474849565758596315181719224566677172737476777879939495100104109111113115117133[[#This Row],[PEG]],Table1016[#All],3,FALSE)</f>
        <v>MENU PROMPT</v>
      </c>
    </row>
    <row r="18" spans="1:5">
      <c r="A18" s="114">
        <v>11</v>
      </c>
      <c r="B18" s="110" t="s">
        <v>124</v>
      </c>
      <c r="C18" s="151" t="s">
        <v>524</v>
      </c>
      <c r="D18" s="113"/>
      <c r="E18" s="122" t="e">
        <f>VLOOKUP(Table25755252691013434446474849565758596315181719224566677172737476777879939495100104109111113115117133[[#This Row],[PEG]],Table1016[#All],3,FALSE)</f>
        <v>#N/A</v>
      </c>
    </row>
    <row r="19" spans="1:5" ht="30">
      <c r="A19" s="114">
        <v>12</v>
      </c>
      <c r="B19" s="110" t="s">
        <v>115</v>
      </c>
      <c r="C19" s="105" t="str">
        <f>VLOOKUP(Table25755252691013434446474849565758596315181719224566677172737476777879939495100104109111113115117133[[#This Row],[PEG]],Table1016[#All],2,FALSE)</f>
        <v>0310-1.wav Your request to transfer ownership was processed on &lt;date&gt;. Would you like me to send you a copy of the confirmation letter? &lt;pause&gt; If you would like to speak with someone, just say "representative."</v>
      </c>
      <c r="D19" s="113">
        <v>310</v>
      </c>
      <c r="E19" s="122" t="str">
        <f>VLOOKUP(Table25755252691013434446474849565758596315181719224566677172737476777879939495100104109111113115117133[[#This Row],[PEG]],Table1016[#All],3,FALSE)</f>
        <v>PLAY PROMPT</v>
      </c>
    </row>
    <row r="20" spans="1:5">
      <c r="A20" s="114">
        <v>13</v>
      </c>
      <c r="B20" s="110" t="s">
        <v>12</v>
      </c>
      <c r="C20" s="151" t="s">
        <v>607</v>
      </c>
      <c r="D20" s="113"/>
      <c r="E20" s="122" t="e">
        <f>VLOOKUP(Table25755252691013434446474849565758596315181719224566677172737476777879939495100104109111113115117133[[#This Row],[PEG]],Table1016[#All],3,FALSE)</f>
        <v>#N/A</v>
      </c>
    </row>
    <row r="21" spans="1:5">
      <c r="A21" s="114">
        <v>14</v>
      </c>
      <c r="B21" s="110" t="s">
        <v>115</v>
      </c>
      <c r="C21" s="105" t="str">
        <f>VLOOKUP(Table25755252691013434446474849565758596315181719224566677172737476777879939495100104109111113115117133[[#This Row],[PEG]],Table1016[#All],2,FALSE)</f>
        <v>Sorry.</v>
      </c>
      <c r="D21" s="113" t="s">
        <v>295</v>
      </c>
      <c r="E21" s="122" t="str">
        <f>VLOOKUP(Table25755252691013434446474849565758596315181719224566677172737476777879939495100104109111113115117133[[#This Row],[PEG]],Table1016[#All],3,FALSE)</f>
        <v>PLAY PROMPT</v>
      </c>
    </row>
    <row r="22" spans="1:5" ht="30">
      <c r="A22" s="114">
        <v>15</v>
      </c>
      <c r="B22" s="110" t="s">
        <v>115</v>
      </c>
      <c r="C22" s="105" t="str">
        <f>VLOOKUP(Table25755252691013434446474849565758596315181719224566677172737476777879939495100104109111113115117133[[#This Row],[PEG]],Table1016[#All],2,FALSE)</f>
        <v>310StatusSendLetter3.wav Would you like me to send you a copy of the confirmation letter?  &lt;pause&gt; If you would like to speak with someone, just say "representative."</v>
      </c>
      <c r="D22" s="113" t="s">
        <v>380</v>
      </c>
      <c r="E22" s="122" t="str">
        <f>VLOOKUP(Table25755252691013434446474849565758596315181719224566677172737476777879939495100104109111113115117133[[#This Row],[PEG]],Table1016[#All],3,FALSE)</f>
        <v>MENU PROMPT</v>
      </c>
    </row>
    <row r="23" spans="1:5">
      <c r="A23" s="114">
        <v>16</v>
      </c>
      <c r="B23" s="110" t="s">
        <v>12</v>
      </c>
      <c r="C23" s="151" t="s">
        <v>607</v>
      </c>
      <c r="D23" s="113"/>
      <c r="E23" s="122" t="e">
        <f>VLOOKUP(Table25755252691013434446474849565758596315181719224566677172737476777879939495100104109111113115117133[[#This Row],[PEG]],Table1016[#All],3,FALSE)</f>
        <v>#N/A</v>
      </c>
    </row>
    <row r="24" spans="1:5">
      <c r="A24" s="114">
        <v>17</v>
      </c>
      <c r="B24" s="110" t="s">
        <v>114</v>
      </c>
      <c r="C24" s="105" t="str">
        <f>VLOOKUP(Table25755252691013434446474849565758596315181719224566677172737476777879939495100104109111113115117133[[#This Row],[PEG]],Table1016[#All],2,FALSE)</f>
        <v>Sorry, I'm having trouble</v>
      </c>
      <c r="D24" s="113" t="s">
        <v>297</v>
      </c>
      <c r="E24" s="122" t="str">
        <f>VLOOKUP(Table25755252691013434446474849565758596315181719224566677172737476777879939495100104109111113115117133[[#This Row],[PEG]],Table1016[#All],3,FALSE)</f>
        <v>PLAY PROMPT</v>
      </c>
    </row>
    <row r="25" spans="1:5">
      <c r="A25" s="114">
        <v>18</v>
      </c>
      <c r="B25" s="110" t="s">
        <v>12</v>
      </c>
      <c r="C25" s="105" t="str">
        <f>VLOOKUP(Table25755252691013434446474849565758596315181719224566677172737476777879939495100104109111113115117133[[#This Row],[PEG]],Table1016[#All],2,FALSE)</f>
        <v>0900.wav Please hold, while I connect you to a customer service representative.</v>
      </c>
      <c r="D25" s="113">
        <v>900</v>
      </c>
      <c r="E25" s="122" t="str">
        <f>VLOOKUP(Table25755252691013434446474849565758596315181719224566677172737476777879939495100104109111113115117133[[#This Row],[PEG]],Table1016[#All],3,FALSE)</f>
        <v>PLAY PROMPT</v>
      </c>
    </row>
    <row r="26" spans="1:5">
      <c r="A26" s="114">
        <v>19</v>
      </c>
      <c r="B26" s="110" t="s">
        <v>12</v>
      </c>
      <c r="C26" s="105" t="str">
        <f>VLOOKUP(Table25755252691013434446474849565758596315181719224566677172737476777879939495100104109111113115117133[[#This Row],[PEG]],Table1016[#All],2,FALSE)</f>
        <v>XferNbr.wav Transfer Number &lt;TransferNbr&gt;</v>
      </c>
      <c r="D26" s="113" t="s">
        <v>480</v>
      </c>
      <c r="E26" s="122" t="str">
        <f>VLOOKUP(Table25755252691013434446474849565758596315181719224566677172737476777879939495100104109111113115117133[[#This Row],[PEG]],Table1016[#All],3,FALSE)</f>
        <v>TEST</v>
      </c>
    </row>
    <row r="27" spans="1:5">
      <c r="A27" s="114">
        <v>20</v>
      </c>
      <c r="B27" s="110" t="s">
        <v>13</v>
      </c>
      <c r="C27" s="17" t="s">
        <v>13</v>
      </c>
      <c r="D27" s="111"/>
      <c r="E27" s="31"/>
    </row>
  </sheetData>
  <mergeCells count="1">
    <mergeCell ref="A1:B1"/>
  </mergeCells>
  <conditionalFormatting sqref="B8">
    <cfRule type="containsText" dxfId="4288" priority="8" operator="containsText" text="Hear">
      <formula>NOT(ISERROR(SEARCH("Hear",B8)))</formula>
    </cfRule>
  </conditionalFormatting>
  <conditionalFormatting sqref="B23:B27">
    <cfRule type="containsText" dxfId="4287" priority="14" operator="containsText" text="Hear">
      <formula>NOT(ISERROR(SEARCH("Hear",B23)))</formula>
    </cfRule>
  </conditionalFormatting>
  <conditionalFormatting sqref="E27">
    <cfRule type="containsText" dxfId="4286" priority="12" operator="containsText" text="WEB SERVICE">
      <formula>NOT(ISERROR(SEARCH("WEB SERVICE",E27)))</formula>
    </cfRule>
    <cfRule type="containsText" dxfId="4285" priority="13" operator="containsText" text="DB">
      <formula>NOT(ISERROR(SEARCH("DB",E27)))</formula>
    </cfRule>
  </conditionalFormatting>
  <conditionalFormatting sqref="C27">
    <cfRule type="expression" dxfId="4284" priority="17">
      <formula>$B27="HANGUP"</formula>
    </cfRule>
  </conditionalFormatting>
  <conditionalFormatting sqref="B9:B22">
    <cfRule type="containsText" dxfId="4283" priority="7" operator="containsText" text="Hear">
      <formula>NOT(ISERROR(SEARCH("Hear",B9)))</formula>
    </cfRule>
  </conditionalFormatting>
  <hyperlinks>
    <hyperlink ref="A1" location="'Test Case Overview'!A1" display="Return to Test Case Overview" xr:uid="{00000000-0004-0000-49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8" id="{F8308466-DCA9-4131-AC9E-54EE2F8C19FF}">
            <xm:f>'TC1'!$B8="HANGUP"</xm:f>
            <x14:dxf>
              <font>
                <b/>
                <i val="0"/>
              </font>
            </x14:dxf>
          </x14:cfRule>
          <x14:cfRule type="expression" priority="19" id="{C2E3B34E-7E15-4336-9638-B2E11A72DF9C}">
            <xm:f>'TC1'!$B8="Dial"</xm:f>
            <x14:dxf>
              <font>
                <b/>
                <i val="0"/>
                <color rgb="FFFF0000"/>
              </font>
            </x14:dxf>
          </x14:cfRule>
          <xm:sqref>C8</xm:sqref>
        </x14:conditionalFormatting>
        <x14:conditionalFormatting xmlns:xm="http://schemas.microsoft.com/office/excel/2006/main">
          <x14:cfRule type="expression" priority="20" id="{7AB2986D-2CDD-452E-A531-EB703ACF19E5}">
            <xm:f>'TC1'!$B8="Speak"</xm:f>
            <x14:dxf>
              <font>
                <b/>
                <i val="0"/>
                <color rgb="FFFF0000"/>
              </font>
            </x14:dxf>
          </x14:cfRule>
          <xm:sqref>C8</xm:sqref>
        </x14:conditionalFormatting>
        <x14:conditionalFormatting xmlns:xm="http://schemas.microsoft.com/office/excel/2006/main">
          <x14:cfRule type="containsText" priority="16" operator="containsText" text="DB" id="{D6FF537B-37C7-4741-A1E8-7D20773BA6BC}">
            <xm:f>NOT(ISERROR(SEARCH("DB",'TC1'!E10)))</xm:f>
            <x14:dxf>
              <font>
                <color rgb="FF006100"/>
              </font>
              <fill>
                <patternFill>
                  <bgColor rgb="FFC6EFCE"/>
                </patternFill>
              </fill>
            </x14:dxf>
          </x14:cfRule>
          <x14:cfRule type="containsText" priority="21" operator="containsText" text="WEB SERVICE" id="{A35B9AAF-FF08-4FE2-82B2-9ADD63F490E8}">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735" id="{F8308466-DCA9-4131-AC9E-54EE2F8C19FF}">
            <xm:f>'TC1'!#REF!="HANGUP"</xm:f>
            <x14:dxf>
              <font>
                <b/>
                <i val="0"/>
              </font>
            </x14:dxf>
          </x14:cfRule>
          <x14:cfRule type="expression" priority="1736" id="{C2E3B34E-7E15-4336-9638-B2E11A72DF9C}">
            <xm:f>'TC1'!#REF!="Dial"</xm:f>
            <x14:dxf>
              <font>
                <b/>
                <i val="0"/>
                <color rgb="FFFF0000"/>
              </font>
            </x14:dxf>
          </x14:cfRule>
          <xm:sqref>C13:C15 C17 C19:C26</xm:sqref>
        </x14:conditionalFormatting>
        <x14:conditionalFormatting xmlns:xm="http://schemas.microsoft.com/office/excel/2006/main">
          <x14:cfRule type="expression" priority="1741" id="{7AB2986D-2CDD-452E-A531-EB703ACF19E5}">
            <xm:f>'TC1'!#REF!="Speak"</xm:f>
            <x14:dxf>
              <font>
                <b/>
                <i val="0"/>
                <color rgb="FFFF0000"/>
              </font>
            </x14:dxf>
          </x14:cfRule>
          <xm:sqref>C13:C15 C17 C19:C26</xm:sqref>
        </x14:conditionalFormatting>
        <x14:conditionalFormatting xmlns:xm="http://schemas.microsoft.com/office/excel/2006/main">
          <x14:cfRule type="containsText" priority="1747" operator="containsText" text="DB" id="{D6FF537B-37C7-4741-A1E8-7D20773BA6BC}">
            <xm:f>NOT(ISERROR(SEARCH("DB",'TC1'!#REF!)))</xm:f>
            <x14:dxf>
              <font>
                <color rgb="FF006100"/>
              </font>
              <fill>
                <patternFill>
                  <bgColor rgb="FFC6EFCE"/>
                </patternFill>
              </fill>
            </x14:dxf>
          </x14:cfRule>
          <x14:cfRule type="containsText" priority="1748" operator="containsText" text="WEB SERVICE" id="{A35B9AAF-FF08-4FE2-82B2-9ADD63F490E8}">
            <xm:f>NOT(ISERROR(SEARCH("WEB SERVICE",'TC1'!#REF!)))</xm:f>
            <x14:dxf>
              <font>
                <color rgb="FF9C0006"/>
              </font>
              <fill>
                <patternFill>
                  <bgColor rgb="FFFFC7CE"/>
                </patternFill>
              </fill>
            </x14:dxf>
          </x14:cfRule>
          <xm:sqref>E13:E26</xm:sqref>
        </x14:conditionalFormatting>
        <x14:conditionalFormatting xmlns:xm="http://schemas.microsoft.com/office/excel/2006/main">
          <x14:cfRule type="expression" priority="3949" id="{F8308466-DCA9-4131-AC9E-54EE2F8C19FF}">
            <xm:f>'TC1'!$B10="HANGUP"</xm:f>
            <x14:dxf>
              <font>
                <b/>
                <i val="0"/>
              </font>
            </x14:dxf>
          </x14:cfRule>
          <x14:cfRule type="expression" priority="3950" id="{C2E3B34E-7E15-4336-9638-B2E11A72DF9C}">
            <xm:f>'TC1'!$B10="Dial"</xm:f>
            <x14:dxf>
              <font>
                <b/>
                <i val="0"/>
                <color rgb="FFFF0000"/>
              </font>
            </x14:dxf>
          </x14:cfRule>
          <xm:sqref>C9:C12</xm:sqref>
        </x14:conditionalFormatting>
        <x14:conditionalFormatting xmlns:xm="http://schemas.microsoft.com/office/excel/2006/main">
          <x14:cfRule type="expression" priority="3952" id="{7AB2986D-2CDD-452E-A531-EB703ACF19E5}">
            <xm:f>'TC1'!$B10="Speak"</xm:f>
            <x14:dxf>
              <font>
                <b/>
                <i val="0"/>
                <color rgb="FFFF0000"/>
              </font>
            </x14:dxf>
          </x14:cfRule>
          <xm:sqref>C9:C12</xm:sqref>
        </x14:conditionalFormatting>
        <x14:conditionalFormatting xmlns:xm="http://schemas.microsoft.com/office/excel/2006/main">
          <x14:cfRule type="expression" priority="4" id="{C4D1B412-1271-4E4F-8188-0C133DD8262B}">
            <xm:f>'\Users\deannah\Wyndham Testing\[Wyndham Destinations_TestCaseOverview_V3_Template.xlsx]TC1'!#REF!="HANGUP"</xm:f>
            <x14:dxf>
              <font>
                <b/>
                <i val="0"/>
              </font>
            </x14:dxf>
          </x14:cfRule>
          <x14:cfRule type="expression" priority="5" id="{EA437528-DADD-429B-B8C7-9B38C98D3F95}">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6" id="{3AA941E3-3B98-456C-92CB-EC6D25A20340}">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1" id="{CBA8EB89-3886-4CAE-AA26-246D539790A8}">
            <xm:f>'\Users\deannah\Wyndham Testing\[Wyndham Destinations_TestCaseOverview_V3_Template.xlsx]TC1'!#REF!="HANGUP"</xm:f>
            <x14:dxf>
              <font>
                <b/>
                <i val="0"/>
              </font>
            </x14:dxf>
          </x14:cfRule>
          <x14:cfRule type="expression" priority="2" id="{437AC995-84EE-4A1E-A777-32D736A861DD}">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3" id="{00FE279A-F5B6-4460-B373-BB5E470E9BD4}">
            <xm:f>'\Users\deannah\Wyndham Testing\[Wyndham Destinations_TestCaseOverview_V3_Template.xlsx]TC1'!#REF!="Speak"</xm:f>
            <x14:dxf>
              <font>
                <b/>
                <i val="0"/>
                <color rgb="FFFF0000"/>
              </font>
            </x14:dxf>
          </x14:cfRule>
          <xm:sqref>C18</xm:sqref>
        </x14:conditionalFormatting>
      </x14:conditionalFormattings>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6"/>
  <dimension ref="A1:E27"/>
  <sheetViews>
    <sheetView zoomScaleNormal="100" workbookViewId="0">
      <selection activeCell="D10" sqref="D10:D13"/>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TC74</v>
      </c>
      <c r="C2" s="94"/>
      <c r="D2" s="107"/>
      <c r="E2" s="93"/>
    </row>
    <row r="3" spans="1:5">
      <c r="A3" s="100" t="s">
        <v>19</v>
      </c>
      <c r="B3" s="108">
        <f ca="1">VLOOKUP(B2,Table1[#All],2,FALSE)</f>
        <v>0</v>
      </c>
      <c r="C3" s="94"/>
      <c r="D3" s="107"/>
      <c r="E3" s="93"/>
    </row>
    <row r="4" spans="1:5" ht="30">
      <c r="A4" s="109" t="s">
        <v>20</v>
      </c>
      <c r="B4" s="95" t="str">
        <f ca="1">VLOOKUP(B2,Table1[#All],4,FALSE)</f>
        <v xml:space="preserve">CHANGE MENU. Not in progress or complete &lt;90days. </v>
      </c>
      <c r="C4" s="94"/>
      <c r="D4" s="107"/>
      <c r="E4" s="93"/>
    </row>
    <row r="5" spans="1:5" ht="45">
      <c r="A5" s="100" t="s">
        <v>6</v>
      </c>
      <c r="B5" s="89" t="str">
        <f ca="1">VLOOKUP(B2,Table1[#All],3,FALSE)</f>
        <v>CallStart Main Menu /Title /Ownership changes/ID Auth=True/peg 320 no match 2X/Xfer</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VLOOKUP(Table25755252691013434446474849565758596315181719224566677172737476777879939495100104109111113115117135[[#This Row],[PEG]],Table1016[#All],2,FALSE)</f>
        <v>CallID.wav Call ID &lt;CallID&gt;</v>
      </c>
      <c r="D9" s="149" t="s">
        <v>477</v>
      </c>
      <c r="E9" s="122" t="str">
        <f>VLOOKUP(Table25755252691013434446474849565758596315181719224566677172737476777879939495100104109111113115117135[[#This Row],[PEG]],Table1016[#All],3,FALSE)</f>
        <v>TEST</v>
      </c>
    </row>
    <row r="10" spans="1:5" ht="30">
      <c r="A10" s="114">
        <v>3</v>
      </c>
      <c r="B10" s="110" t="s">
        <v>115</v>
      </c>
      <c r="C10" s="105" t="str">
        <f>VLOOKUP(Table25755252691013434446474849565758596315181719224566677172737476777879939495100104109111113115117135[[#This Row],[PEG]],Table1016[#All],2,FALSE)</f>
        <v>0100.wav Thank you for calling Shell vacations Club, we are glad you called. Please have your account number available for faster service. [To continue in Spanish, press 9]</v>
      </c>
      <c r="D10" s="149">
        <v>100</v>
      </c>
      <c r="E10" s="122" t="str">
        <f>VLOOKUP(Table25755252691013434446474849565758596315181719224566677172737476777879939495100104109111113115117135[[#This Row],[PEG]],Table1016[#All],3,FALSE)</f>
        <v>PLAY PROMPT</v>
      </c>
    </row>
    <row r="11" spans="1:5" ht="30">
      <c r="A11" s="114">
        <v>4</v>
      </c>
      <c r="B11" s="110" t="s">
        <v>115</v>
      </c>
      <c r="C11" s="105" t="str">
        <f>VLOOKUP(Table25755252691013434446474849565758596315181719224566677172737476777879939495100104109111113115117135[[#This Row],[PEG]],Table1016[#All],2,FALSE)</f>
        <v>0110-1.wav Which would you like? You can say... reservations, payments &amp; statements, title &amp; ownership changes, or more options.</v>
      </c>
      <c r="D11" s="149">
        <v>110</v>
      </c>
      <c r="E11" s="122" t="str">
        <f>VLOOKUP(Table25755252691013434446474849565758596315181719224566677172737476777879939495100104109111113115117135[[#This Row],[PEG]],Table1016[#All],3,FALSE)</f>
        <v>MENU PROMPT</v>
      </c>
    </row>
    <row r="12" spans="1:5">
      <c r="A12" s="114">
        <v>5</v>
      </c>
      <c r="B12" s="110" t="s">
        <v>124</v>
      </c>
      <c r="C12" s="158" t="s">
        <v>2</v>
      </c>
      <c r="D12" s="149"/>
      <c r="E12" s="122" t="e">
        <f>VLOOKUP(Table25755252691013434446474849565758596315181719224566677172737476777879939495100104109111113115117135[[#This Row],[PEG]],Table1016[#All],3,FALSE)</f>
        <v>#N/A</v>
      </c>
    </row>
    <row r="13" spans="1:5" ht="30">
      <c r="A13" s="114">
        <v>6</v>
      </c>
      <c r="B13" s="110" t="s">
        <v>115</v>
      </c>
      <c r="C13" s="105" t="str">
        <f>VLOOKUP(Table25755252691013434446474849565758596315181719224566677172737476777879939495100104109111113115117135[[#This Row],[PEG]],Table1016[#All],2,FALSE)</f>
        <v>0300-1.wav You can say ownership changes, check status, make a payment, or help me with something else. Which would you like?</v>
      </c>
      <c r="D13" s="149">
        <v>300</v>
      </c>
      <c r="E13" s="122" t="str">
        <f>VLOOKUP(Table25755252691013434446474849565758596315181719224566677172737476777879939495100104109111113115117135[[#This Row],[PEG]],Table1016[#All],3,FALSE)</f>
        <v>MENU PROMPT</v>
      </c>
    </row>
    <row r="14" spans="1:5">
      <c r="A14" s="114">
        <v>7</v>
      </c>
      <c r="B14" s="110" t="s">
        <v>124</v>
      </c>
      <c r="C14" s="151" t="s">
        <v>611</v>
      </c>
      <c r="D14" s="112"/>
      <c r="E14" s="122" t="e">
        <f>VLOOKUP(Table25755252691013434446474849565758596315181719224566677172737476777879939495100104109111113115117135[[#This Row],[PEG]],Table1016[#All],3,FALSE)</f>
        <v>#N/A</v>
      </c>
    </row>
    <row r="15" spans="1:5">
      <c r="A15" s="114">
        <v>8</v>
      </c>
      <c r="B15" s="110" t="s">
        <v>115</v>
      </c>
      <c r="C15" s="105" t="str">
        <f>VLOOKUP(Table25755252691013434446474849565758596315181719224566677172737476777879939495100104109111113115117135[[#This Row],[PEG]],Table1016[#All],2,FALSE)</f>
        <v>0200-1.wav To get started, what is your account number?</v>
      </c>
      <c r="D15" s="112">
        <v>200</v>
      </c>
      <c r="E15" s="122" t="str">
        <f>VLOOKUP(Table25755252691013434446474849565758596315181719224566677172737476777879939495100104109111113115117135[[#This Row],[PEG]],Table1016[#All],3,FALSE)</f>
        <v>MENU PROMPT</v>
      </c>
    </row>
    <row r="16" spans="1:5">
      <c r="A16" s="114">
        <v>9</v>
      </c>
      <c r="B16" s="110" t="s">
        <v>124</v>
      </c>
      <c r="C16" s="151" t="s">
        <v>515</v>
      </c>
      <c r="D16" s="113"/>
      <c r="E16" s="122" t="e">
        <f>VLOOKUP(Table25755252691013434446474849565758596315181719224566677172737476777879939495100104109111113115117135[[#This Row],[PEG]],Table1016[#All],3,FALSE)</f>
        <v>#N/A</v>
      </c>
    </row>
    <row r="17" spans="1:5">
      <c r="A17" s="114">
        <v>10</v>
      </c>
      <c r="B17" s="110" t="s">
        <v>115</v>
      </c>
      <c r="C17" s="105" t="str">
        <f>VLOOKUP(Table25755252691013434446474849565758596315181719224566677172737476777879939495100104109111113115117135[[#This Row],[PEG]],Table1016[#All],2,FALSE)</f>
        <v>0210-1.wav And the date of birth for the primary owner?</v>
      </c>
      <c r="D17" s="113">
        <v>210</v>
      </c>
      <c r="E17" s="122" t="str">
        <f>VLOOKUP(Table25755252691013434446474849565758596315181719224566677172737476777879939495100104109111113115117135[[#This Row],[PEG]],Table1016[#All],3,FALSE)</f>
        <v>MENU PROMPT</v>
      </c>
    </row>
    <row r="18" spans="1:5">
      <c r="A18" s="114">
        <v>11</v>
      </c>
      <c r="B18" s="110" t="s">
        <v>124</v>
      </c>
      <c r="C18" s="151" t="s">
        <v>524</v>
      </c>
      <c r="D18" s="113"/>
      <c r="E18" s="122" t="e">
        <f>VLOOKUP(Table25755252691013434446474849565758596315181719224566677172737476777879939495100104109111113115117135[[#This Row],[PEG]],Table1016[#All],3,FALSE)</f>
        <v>#N/A</v>
      </c>
    </row>
    <row r="19" spans="1:5" ht="45">
      <c r="A19" s="114">
        <v>12</v>
      </c>
      <c r="B19" s="110" t="s">
        <v>115</v>
      </c>
      <c r="C19" s="105" t="str">
        <f>VLOOKUP(Table25755252691013434446474849565758596315181719224566677172737476777879939495100104109111113115117135[[#This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13">
        <v>320</v>
      </c>
      <c r="E19" s="122" t="str">
        <f>VLOOKUP(Table25755252691013434446474849565758596315181719224566677172737476777879939495100104109111113115117135[[#This Row],[PEG]],Table1016[#All],3,FALSE)</f>
        <v>MENU PROMPT</v>
      </c>
    </row>
    <row r="20" spans="1:5">
      <c r="A20" s="114">
        <v>13</v>
      </c>
      <c r="B20" s="110" t="s">
        <v>114</v>
      </c>
      <c r="C20" s="151" t="s">
        <v>1</v>
      </c>
      <c r="D20" s="113"/>
      <c r="E20" s="122" t="e">
        <f>VLOOKUP(Table25755252691013434446474849565758596315181719224566677172737476777879939495100104109111113115117135[[#This Row],[PEG]],Table1016[#All],3,FALSE)</f>
        <v>#N/A</v>
      </c>
    </row>
    <row r="21" spans="1:5">
      <c r="A21" s="114">
        <v>14</v>
      </c>
      <c r="B21" s="110" t="s">
        <v>115</v>
      </c>
      <c r="C21" s="105" t="str">
        <f>VLOOKUP(Table25755252691013434446474849565758596315181719224566677172737476777879939495100104109111113115117135[[#This Row],[PEG]],Table1016[#All],2,FALSE)</f>
        <v>Sorry.</v>
      </c>
      <c r="D21" s="113" t="s">
        <v>295</v>
      </c>
      <c r="E21" s="122" t="str">
        <f>VLOOKUP(Table25755252691013434446474849565758596315181719224566677172737476777879939495100104109111113115117135[[#This Row],[PEG]],Table1016[#All],3,FALSE)</f>
        <v>PLAY PROMPT</v>
      </c>
    </row>
    <row r="22" spans="1:5" ht="30">
      <c r="A22" s="114">
        <v>15</v>
      </c>
      <c r="B22" s="110" t="s">
        <v>12</v>
      </c>
      <c r="C22" s="105" t="str">
        <f>VLOOKUP(Table25755252691013434446474849565758596315181719224566677172737476777879939495100104109111113115117135[[#This Row],[PEG]],Table1016[#All],2,FALSE)</f>
        <v>0320RepeatorRep.wav To hear these options again, say repeat that.  If you would like to speak with someone, say representative.</v>
      </c>
      <c r="D22" s="113" t="s">
        <v>381</v>
      </c>
      <c r="E22" s="122" t="str">
        <f>VLOOKUP(Table25755252691013434446474849565758596315181719224566677172737476777879939495100104109111113115117135[[#This Row],[PEG]],Table1016[#All],3,FALSE)</f>
        <v>MENU PROMPT</v>
      </c>
    </row>
    <row r="23" spans="1:5" s="93" customFormat="1">
      <c r="A23" s="114">
        <v>16</v>
      </c>
      <c r="B23" s="110" t="s">
        <v>114</v>
      </c>
      <c r="C23" s="151" t="s">
        <v>1</v>
      </c>
      <c r="D23" s="113"/>
      <c r="E23" s="122"/>
    </row>
    <row r="24" spans="1:5">
      <c r="A24" s="114">
        <v>17</v>
      </c>
      <c r="B24" s="110" t="s">
        <v>115</v>
      </c>
      <c r="C24" s="105" t="str">
        <f>VLOOKUP(Table25755252691013434446474849565758596315181719224566677172737476777879939495100104109111113115117135[[#This Row],[PEG]],Table1016[#All],2,FALSE)</f>
        <v>Sorry, I'm having trouble</v>
      </c>
      <c r="D24" s="113" t="s">
        <v>297</v>
      </c>
      <c r="E24" s="122" t="str">
        <f>VLOOKUP(Table25755252691013434446474849565758596315181719224566677172737476777879939495100104109111113115117135[[#This Row],[PEG]],Table1016[#All],3,FALSE)</f>
        <v>PLAY PROMPT</v>
      </c>
    </row>
    <row r="25" spans="1:5">
      <c r="A25" s="114">
        <v>18</v>
      </c>
      <c r="B25" s="110" t="s">
        <v>114</v>
      </c>
      <c r="C25" s="105" t="str">
        <f>VLOOKUP(Table25755252691013434446474849565758596315181719224566677172737476777879939495100104109111113115117135[[#This Row],[PEG]],Table1016[#All],2,FALSE)</f>
        <v>0900.wav Please hold, while I connect you to a customer service representative.</v>
      </c>
      <c r="D25" s="113">
        <v>900</v>
      </c>
      <c r="E25" s="122" t="str">
        <f>VLOOKUP(Table25755252691013434446474849565758596315181719224566677172737476777879939495100104109111113115117135[[#This Row],[PEG]],Table1016[#All],3,FALSE)</f>
        <v>PLAY PROMPT</v>
      </c>
    </row>
    <row r="26" spans="1:5">
      <c r="A26" s="114">
        <v>19</v>
      </c>
      <c r="B26" s="110" t="s">
        <v>12</v>
      </c>
      <c r="C26" s="105" t="str">
        <f>VLOOKUP(Table25755252691013434446474849565758596315181719224566677172737476777879939495100104109111113115117135[[#This Row],[PEG]],Table1016[#All],2,FALSE)</f>
        <v>XferNbr.wav Transfer Number &lt;TransferNbr&gt;</v>
      </c>
      <c r="D26" s="113" t="s">
        <v>480</v>
      </c>
      <c r="E26" s="122" t="str">
        <f>VLOOKUP(Table25755252691013434446474849565758596315181719224566677172737476777879939495100104109111113115117135[[#This Row],[PEG]],Table1016[#All],3,FALSE)</f>
        <v>TEST</v>
      </c>
    </row>
    <row r="27" spans="1:5">
      <c r="A27" s="114">
        <v>20</v>
      </c>
      <c r="B27" s="110" t="s">
        <v>13</v>
      </c>
      <c r="C27" s="17" t="s">
        <v>13</v>
      </c>
      <c r="D27" s="111"/>
      <c r="E27" s="31"/>
    </row>
  </sheetData>
  <mergeCells count="1">
    <mergeCell ref="A1:B1"/>
  </mergeCells>
  <conditionalFormatting sqref="B8">
    <cfRule type="containsText" dxfId="4254" priority="8" operator="containsText" text="Hear">
      <formula>NOT(ISERROR(SEARCH("Hear",B8)))</formula>
    </cfRule>
  </conditionalFormatting>
  <conditionalFormatting sqref="B19:B27">
    <cfRule type="containsText" dxfId="4253" priority="14" operator="containsText" text="Hear">
      <formula>NOT(ISERROR(SEARCH("Hear",B19)))</formula>
    </cfRule>
  </conditionalFormatting>
  <conditionalFormatting sqref="E27">
    <cfRule type="containsText" dxfId="4252" priority="12" operator="containsText" text="WEB SERVICE">
      <formula>NOT(ISERROR(SEARCH("WEB SERVICE",E27)))</formula>
    </cfRule>
    <cfRule type="containsText" dxfId="4251" priority="13" operator="containsText" text="DB">
      <formula>NOT(ISERROR(SEARCH("DB",E27)))</formula>
    </cfRule>
  </conditionalFormatting>
  <conditionalFormatting sqref="C27">
    <cfRule type="expression" dxfId="4250" priority="17">
      <formula>$B27="HANGUP"</formula>
    </cfRule>
  </conditionalFormatting>
  <conditionalFormatting sqref="B9:B18">
    <cfRule type="containsText" dxfId="4249" priority="7" operator="containsText" text="Hear">
      <formula>NOT(ISERROR(SEARCH("Hear",B9)))</formula>
    </cfRule>
  </conditionalFormatting>
  <hyperlinks>
    <hyperlink ref="A1" location="'Test Case Overview'!A1" display="Return to Test Case Overview" xr:uid="{00000000-0004-0000-4A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8" id="{FC595D59-3B28-4D60-8790-13E66B9F8EC4}">
            <xm:f>'TC1'!$B8="HANGUP"</xm:f>
            <x14:dxf>
              <font>
                <b/>
                <i val="0"/>
              </font>
            </x14:dxf>
          </x14:cfRule>
          <x14:cfRule type="expression" priority="19" id="{D447F854-ED8F-4398-8505-6AC31B08031A}">
            <xm:f>'TC1'!$B8="Dial"</xm:f>
            <x14:dxf>
              <font>
                <b/>
                <i val="0"/>
                <color rgb="FFFF0000"/>
              </font>
            </x14:dxf>
          </x14:cfRule>
          <xm:sqref>C8</xm:sqref>
        </x14:conditionalFormatting>
        <x14:conditionalFormatting xmlns:xm="http://schemas.microsoft.com/office/excel/2006/main">
          <x14:cfRule type="expression" priority="20" id="{B982B50A-A8C4-41E0-B34F-12CDF5D46F1E}">
            <xm:f>'TC1'!$B8="Speak"</xm:f>
            <x14:dxf>
              <font>
                <b/>
                <i val="0"/>
                <color rgb="FFFF0000"/>
              </font>
            </x14:dxf>
          </x14:cfRule>
          <xm:sqref>C8</xm:sqref>
        </x14:conditionalFormatting>
        <x14:conditionalFormatting xmlns:xm="http://schemas.microsoft.com/office/excel/2006/main">
          <x14:cfRule type="containsText" priority="16" operator="containsText" text="DB" id="{247BB33B-AFCB-41B1-8A3D-7F2BDB3B1CF7}">
            <xm:f>NOT(ISERROR(SEARCH("DB",'TC1'!E10)))</xm:f>
            <x14:dxf>
              <font>
                <color rgb="FF006100"/>
              </font>
              <fill>
                <patternFill>
                  <bgColor rgb="FFC6EFCE"/>
                </patternFill>
              </fill>
            </x14:dxf>
          </x14:cfRule>
          <x14:cfRule type="containsText" priority="21" operator="containsText" text="WEB SERVICE" id="{9B323457-4270-484E-A1A1-A4FC77239BC7}">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755" id="{FC595D59-3B28-4D60-8790-13E66B9F8EC4}">
            <xm:f>'TC1'!#REF!="HANGUP"</xm:f>
            <x14:dxf>
              <font>
                <b/>
                <i val="0"/>
              </font>
            </x14:dxf>
          </x14:cfRule>
          <x14:cfRule type="expression" priority="1756" id="{D447F854-ED8F-4398-8505-6AC31B08031A}">
            <xm:f>'TC1'!#REF!="Dial"</xm:f>
            <x14:dxf>
              <font>
                <b/>
                <i val="0"/>
                <color rgb="FFFF0000"/>
              </font>
            </x14:dxf>
          </x14:cfRule>
          <xm:sqref>C13:C15 C17 C19:C26</xm:sqref>
        </x14:conditionalFormatting>
        <x14:conditionalFormatting xmlns:xm="http://schemas.microsoft.com/office/excel/2006/main">
          <x14:cfRule type="expression" priority="1761" id="{B982B50A-A8C4-41E0-B34F-12CDF5D46F1E}">
            <xm:f>'TC1'!#REF!="Speak"</xm:f>
            <x14:dxf>
              <font>
                <b/>
                <i val="0"/>
                <color rgb="FFFF0000"/>
              </font>
            </x14:dxf>
          </x14:cfRule>
          <xm:sqref>C13:C15 C17 C19:C26</xm:sqref>
        </x14:conditionalFormatting>
        <x14:conditionalFormatting xmlns:xm="http://schemas.microsoft.com/office/excel/2006/main">
          <x14:cfRule type="containsText" priority="1767" operator="containsText" text="DB" id="{247BB33B-AFCB-41B1-8A3D-7F2BDB3B1CF7}">
            <xm:f>NOT(ISERROR(SEARCH("DB",'TC1'!#REF!)))</xm:f>
            <x14:dxf>
              <font>
                <color rgb="FF006100"/>
              </font>
              <fill>
                <patternFill>
                  <bgColor rgb="FFC6EFCE"/>
                </patternFill>
              </fill>
            </x14:dxf>
          </x14:cfRule>
          <x14:cfRule type="containsText" priority="1768" operator="containsText" text="WEB SERVICE" id="{9B323457-4270-484E-A1A1-A4FC77239BC7}">
            <xm:f>NOT(ISERROR(SEARCH("WEB SERVICE",'TC1'!#REF!)))</xm:f>
            <x14:dxf>
              <font>
                <color rgb="FF9C0006"/>
              </font>
              <fill>
                <patternFill>
                  <bgColor rgb="FFFFC7CE"/>
                </patternFill>
              </fill>
            </x14:dxf>
          </x14:cfRule>
          <xm:sqref>E13:E26</xm:sqref>
        </x14:conditionalFormatting>
        <x14:conditionalFormatting xmlns:xm="http://schemas.microsoft.com/office/excel/2006/main">
          <x14:cfRule type="expression" priority="3957" id="{FC595D59-3B28-4D60-8790-13E66B9F8EC4}">
            <xm:f>'TC1'!$B10="HANGUP"</xm:f>
            <x14:dxf>
              <font>
                <b/>
                <i val="0"/>
              </font>
            </x14:dxf>
          </x14:cfRule>
          <x14:cfRule type="expression" priority="3958" id="{D447F854-ED8F-4398-8505-6AC31B08031A}">
            <xm:f>'TC1'!$B10="Dial"</xm:f>
            <x14:dxf>
              <font>
                <b/>
                <i val="0"/>
                <color rgb="FFFF0000"/>
              </font>
            </x14:dxf>
          </x14:cfRule>
          <xm:sqref>C9:C12</xm:sqref>
        </x14:conditionalFormatting>
        <x14:conditionalFormatting xmlns:xm="http://schemas.microsoft.com/office/excel/2006/main">
          <x14:cfRule type="expression" priority="3960" id="{B982B50A-A8C4-41E0-B34F-12CDF5D46F1E}">
            <xm:f>'TC1'!$B10="Speak"</xm:f>
            <x14:dxf>
              <font>
                <b/>
                <i val="0"/>
                <color rgb="FFFF0000"/>
              </font>
            </x14:dxf>
          </x14:cfRule>
          <xm:sqref>C9:C12</xm:sqref>
        </x14:conditionalFormatting>
        <x14:conditionalFormatting xmlns:xm="http://schemas.microsoft.com/office/excel/2006/main">
          <x14:cfRule type="expression" priority="4" id="{E3D6A031-EB4D-48BF-B22B-94238A6EF4E0}">
            <xm:f>'\Users\deannah\Wyndham Testing\[Wyndham Destinations_TestCaseOverview_V3_Template.xlsx]TC1'!#REF!="HANGUP"</xm:f>
            <x14:dxf>
              <font>
                <b/>
                <i val="0"/>
              </font>
            </x14:dxf>
          </x14:cfRule>
          <x14:cfRule type="expression" priority="5" id="{588CA2AF-A67E-44A6-BA15-38B89A5E8FC4}">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6" id="{55A76BB0-9598-4C23-A898-A3908C328433}">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1" id="{6A64CF0C-DA48-4B07-80E7-BBD3458905F8}">
            <xm:f>'\Users\deannah\Wyndham Testing\[Wyndham Destinations_TestCaseOverview_V3_Template.xlsx]TC1'!#REF!="HANGUP"</xm:f>
            <x14:dxf>
              <font>
                <b/>
                <i val="0"/>
              </font>
            </x14:dxf>
          </x14:cfRule>
          <x14:cfRule type="expression" priority="2" id="{A4E89C78-8054-40F1-B575-9F9C6A4F8234}">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3" id="{C8ABB013-9773-42BE-A39A-78CB0182E89B}">
            <xm:f>'\Users\deannah\Wyndham Testing\[Wyndham Destinations_TestCaseOverview_V3_Template.xlsx]TC1'!#REF!="Speak"</xm:f>
            <x14:dxf>
              <font>
                <b/>
                <i val="0"/>
                <color rgb="FFFF0000"/>
              </font>
            </x14:dxf>
          </x14:cfRule>
          <xm:sqref>C18</xm:sqref>
        </x14:conditionalFormatting>
      </x14:conditionalFormattings>
    </ext>
  </extLs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7"/>
  <dimension ref="A1:E30"/>
  <sheetViews>
    <sheetView zoomScaleNormal="100" workbookViewId="0">
      <selection activeCell="D10" sqref="D10:D13"/>
    </sheetView>
  </sheetViews>
  <sheetFormatPr defaultRowHeight="15"/>
  <cols>
    <col min="1" max="1" width="14.42578125" bestFit="1" customWidth="1"/>
    <col min="2" max="2" width="42.7109375" customWidth="1"/>
    <col min="3" max="3" width="106.28515625" customWidth="1"/>
    <col min="4" max="4" width="21.7109375" bestFit="1" customWidth="1"/>
    <col min="5" max="5" width="20.7109375" customWidth="1"/>
  </cols>
  <sheetData>
    <row r="1" spans="1:5" ht="18.75">
      <c r="A1" s="197" t="s">
        <v>4</v>
      </c>
      <c r="B1" s="197"/>
      <c r="C1" s="101"/>
      <c r="D1" s="107"/>
      <c r="E1" s="93"/>
    </row>
    <row r="2" spans="1:5">
      <c r="A2" s="102" t="s">
        <v>5</v>
      </c>
      <c r="B2" s="103" t="str">
        <f ca="1">MID(CELL("filename",A1),FIND("]",CELL("filename",A1))+1,LEN(CELL("filename",A1))-FIND("]",CELL("filename",A1)))</f>
        <v>TC75</v>
      </c>
      <c r="C2" s="94"/>
      <c r="D2" s="107"/>
      <c r="E2" s="93"/>
    </row>
    <row r="3" spans="1:5">
      <c r="A3" s="100" t="s">
        <v>19</v>
      </c>
      <c r="B3" s="108">
        <f ca="1">VLOOKUP(B2,Table1[#All],2,FALSE)</f>
        <v>0</v>
      </c>
      <c r="C3" s="94"/>
      <c r="D3" s="107"/>
      <c r="E3" s="93"/>
    </row>
    <row r="4" spans="1:5" ht="60">
      <c r="A4" s="109" t="s">
        <v>20</v>
      </c>
      <c r="B4" s="95" t="str">
        <f ca="1">VLOOKUP(B2,Table1[#All],4,FALSE)</f>
        <v>svcArea=titleSvcs, serviceType=chgOwnership, Not in progress or complete &lt;90days. Changetype=A add owner/325-S-ND-A.wav</v>
      </c>
      <c r="C4" s="94" t="s">
        <v>612</v>
      </c>
      <c r="D4" s="107"/>
      <c r="E4" s="93"/>
    </row>
    <row r="5" spans="1:5" ht="45">
      <c r="A5" s="100" t="s">
        <v>6</v>
      </c>
      <c r="B5" s="89" t="str">
        <f ca="1">VLOOKUP(B2,Table1[#All],3,FALSE)</f>
        <v>CallStart Main Menu /Title /Ownership changes/ID Auth=True/ Add owner/ peg 0330 noinput no match/xfer</v>
      </c>
      <c r="C5" s="94"/>
      <c r="D5" s="107"/>
      <c r="E5" s="93"/>
    </row>
    <row r="6" spans="1:5">
      <c r="A6" s="93"/>
      <c r="B6" s="93"/>
      <c r="C6" s="94"/>
      <c r="D6" s="107"/>
      <c r="E6" s="93"/>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VLOOKUP(Table25755252691013434446474849565758596315181719224566677172737476777879939495100104109111113115117137[[#This Row],[PEG]],Table1016[#All],2,FALSE)</f>
        <v>CallID.wav Call ID &lt;CallID&gt;</v>
      </c>
      <c r="D9" s="149" t="s">
        <v>477</v>
      </c>
      <c r="E9" s="122" t="str">
        <f>VLOOKUP(Table25755252691013434446474849565758596315181719224566677172737476777879939495100104109111113115117137[[#This Row],[PEG]],Table1016[#All],3,FALSE)</f>
        <v>TEST</v>
      </c>
    </row>
    <row r="10" spans="1:5" ht="30">
      <c r="A10" s="114">
        <v>3</v>
      </c>
      <c r="B10" s="110" t="s">
        <v>115</v>
      </c>
      <c r="C10" s="105" t="str">
        <f>VLOOKUP(Table25755252691013434446474849565758596315181719224566677172737476777879939495100104109111113115117137[[#This Row],[PEG]],Table1016[#All],2,FALSE)</f>
        <v>0100.wav Thank you for calling Shell vacations Club, we are glad you called. Please have your account number available for faster service. [To continue in Spanish, press 9]</v>
      </c>
      <c r="D10" s="149">
        <v>100</v>
      </c>
      <c r="E10" s="122" t="str">
        <f>VLOOKUP(Table25755252691013434446474849565758596315181719224566677172737476777879939495100104109111113115117137[[#This Row],[PEG]],Table1016[#All],3,FALSE)</f>
        <v>PLAY PROMPT</v>
      </c>
    </row>
    <row r="11" spans="1:5" ht="30">
      <c r="A11" s="114">
        <v>4</v>
      </c>
      <c r="B11" s="110" t="s">
        <v>115</v>
      </c>
      <c r="C11" s="105" t="str">
        <f>VLOOKUP(Table25755252691013434446474849565758596315181719224566677172737476777879939495100104109111113115117137[[#This Row],[PEG]],Table1016[#All],2,FALSE)</f>
        <v>0110-1.wav Which would you like? You can say... reservations, payments &amp; statements, title &amp; ownership changes, or more options.</v>
      </c>
      <c r="D11" s="149">
        <v>110</v>
      </c>
      <c r="E11" s="122" t="str">
        <f>VLOOKUP(Table25755252691013434446474849565758596315181719224566677172737476777879939495100104109111113115117137[[#This Row],[PEG]],Table1016[#All],3,FALSE)</f>
        <v>MENU PROMPT</v>
      </c>
    </row>
    <row r="12" spans="1:5">
      <c r="A12" s="114">
        <v>5</v>
      </c>
      <c r="B12" s="110" t="s">
        <v>124</v>
      </c>
      <c r="C12" s="158" t="s">
        <v>2</v>
      </c>
      <c r="D12" s="149"/>
      <c r="E12" s="122" t="e">
        <f>VLOOKUP(Table25755252691013434446474849565758596315181719224566677172737476777879939495100104109111113115117137[[#This Row],[PEG]],Table1016[#All],3,FALSE)</f>
        <v>#N/A</v>
      </c>
    </row>
    <row r="13" spans="1:5" ht="30">
      <c r="A13" s="114">
        <v>6</v>
      </c>
      <c r="B13" s="110" t="s">
        <v>115</v>
      </c>
      <c r="C13" s="105" t="str">
        <f>VLOOKUP(Table25755252691013434446474849565758596315181719224566677172737476777879939495100104109111113115117137[[#This Row],[PEG]],Table1016[#All],2,FALSE)</f>
        <v>0300-1.wav You can say ownership changes, check status, make a payment, or help me with something else. Which would you like?</v>
      </c>
      <c r="D13" s="149">
        <v>300</v>
      </c>
      <c r="E13" s="122" t="str">
        <f>VLOOKUP(Table25755252691013434446474849565758596315181719224566677172737476777879939495100104109111113115117137[[#This Row],[PEG]],Table1016[#All],3,FALSE)</f>
        <v>MENU PROMPT</v>
      </c>
    </row>
    <row r="14" spans="1:5">
      <c r="A14" s="114">
        <v>7</v>
      </c>
      <c r="B14" s="110" t="s">
        <v>124</v>
      </c>
      <c r="C14" s="151" t="s">
        <v>506</v>
      </c>
      <c r="D14" s="112"/>
      <c r="E14" s="122" t="e">
        <f>VLOOKUP(Table25755252691013434446474849565758596315181719224566677172737476777879939495100104109111113115117137[[#This Row],[PEG]],Table1016[#All],3,FALSE)</f>
        <v>#N/A</v>
      </c>
    </row>
    <row r="15" spans="1:5">
      <c r="A15" s="114">
        <v>8</v>
      </c>
      <c r="B15" s="110" t="s">
        <v>115</v>
      </c>
      <c r="C15" s="105" t="str">
        <f>VLOOKUP(Table25755252691013434446474849565758596315181719224566677172737476777879939495100104109111113115117137[[#This Row],[PEG]],Table1016[#All],2,FALSE)</f>
        <v>0200-1.wav To get started, what is your account number?</v>
      </c>
      <c r="D15" s="112">
        <v>200</v>
      </c>
      <c r="E15" s="122" t="str">
        <f>VLOOKUP(Table25755252691013434446474849565758596315181719224566677172737476777879939495100104109111113115117137[[#This Row],[PEG]],Table1016[#All],3,FALSE)</f>
        <v>MENU PROMPT</v>
      </c>
    </row>
    <row r="16" spans="1:5">
      <c r="A16" s="114">
        <v>9</v>
      </c>
      <c r="B16" s="110" t="s">
        <v>124</v>
      </c>
      <c r="C16" s="151" t="s">
        <v>515</v>
      </c>
      <c r="D16" s="113"/>
      <c r="E16" s="122" t="e">
        <f>VLOOKUP(Table25755252691013434446474849565758596315181719224566677172737476777879939495100104109111113115117137[[#This Row],[PEG]],Table1016[#All],3,FALSE)</f>
        <v>#N/A</v>
      </c>
    </row>
    <row r="17" spans="1:5">
      <c r="A17" s="114">
        <v>10</v>
      </c>
      <c r="B17" s="110" t="s">
        <v>115</v>
      </c>
      <c r="C17" s="105" t="str">
        <f>VLOOKUP(Table25755252691013434446474849565758596315181719224566677172737476777879939495100104109111113115117137[[#This Row],[PEG]],Table1016[#All],2,FALSE)</f>
        <v>0210-1.wav And the date of birth for the primary owner?</v>
      </c>
      <c r="D17" s="113">
        <v>210</v>
      </c>
      <c r="E17" s="122" t="str">
        <f>VLOOKUP(Table25755252691013434446474849565758596315181719224566677172737476777879939495100104109111113115117137[[#This Row],[PEG]],Table1016[#All],3,FALSE)</f>
        <v>MENU PROMPT</v>
      </c>
    </row>
    <row r="18" spans="1:5">
      <c r="A18" s="114">
        <v>11</v>
      </c>
      <c r="B18" s="110" t="s">
        <v>124</v>
      </c>
      <c r="C18" s="151" t="s">
        <v>515</v>
      </c>
      <c r="D18" s="113"/>
      <c r="E18" s="122" t="e">
        <f>VLOOKUP(Table25755252691013434446474849565758596315181719224566677172737476777879939495100104109111113115117137[[#This Row],[PEG]],Table1016[#All],3,FALSE)</f>
        <v>#N/A</v>
      </c>
    </row>
    <row r="19" spans="1:5" ht="45">
      <c r="A19" s="114">
        <v>12</v>
      </c>
      <c r="B19" s="110" t="s">
        <v>115</v>
      </c>
      <c r="C19" s="105" t="str">
        <f>VLOOKUP(Table25755252691013434446474849565758596315181719224566677172737476777879939495100104109111113115117137[[#This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13">
        <v>320</v>
      </c>
      <c r="E19" s="122" t="str">
        <f>VLOOKUP(Table25755252691013434446474849565758596315181719224566677172737476777879939495100104109111113115117137[[#This Row],[PEG]],Table1016[#All],3,FALSE)</f>
        <v>MENU PROMPT</v>
      </c>
    </row>
    <row r="20" spans="1:5">
      <c r="A20" s="114">
        <v>13</v>
      </c>
      <c r="B20" s="110" t="s">
        <v>124</v>
      </c>
      <c r="C20" s="151" t="s">
        <v>529</v>
      </c>
      <c r="D20" s="113"/>
      <c r="E20" s="122" t="e">
        <f>VLOOKUP(Table25755252691013434446474849565758596315181719224566677172737476777879939495100104109111113115117137[[#This Row],[PEG]],Table1016[#All],3,FALSE)</f>
        <v>#N/A</v>
      </c>
    </row>
    <row r="21" spans="1:5" ht="75">
      <c r="A21" s="114">
        <v>14</v>
      </c>
      <c r="B21" s="110" t="s">
        <v>115</v>
      </c>
      <c r="C21" s="105" t="str">
        <f>VLOOKUP(Table25755252691013434446474849565758596315181719224566677172737476777879939495100104109111113115117137[[#This Row],[PEG]],Table1016[#All],2,FALSE)</f>
        <v>Wyndham requires a $75 processing fee per account to update ownership. You can   self-service by logging into your online account.  You may also send a   written request with each of the new owner's, first and last name, address,   phone number, email address, date of birth, and copy of government issued ID.   Please send the information to 6277 Sea Harbor Drive, Orlando Florida 32821,   attention, Shell Member Transfers. Once the information and fee is received,   Wyndham will send transfer paperwork to be signed in front of a notary and   returned.</v>
      </c>
      <c r="D21" s="113" t="s">
        <v>212</v>
      </c>
      <c r="E21" s="122" t="str">
        <f>VLOOKUP(Table25755252691013434446474849565758596315181719224566677172737476777879939495100104109111113115117137[[#This Row],[PEG]],Table1016[#All],3,FALSE)</f>
        <v>PLAY PROMPT</v>
      </c>
    </row>
    <row r="22" spans="1:5" ht="30">
      <c r="A22" s="114">
        <v>15</v>
      </c>
      <c r="B22" s="110" t="s">
        <v>115</v>
      </c>
      <c r="C22" s="105" t="str">
        <f>VLOOKUP(Table25755252691013434446474849565758596315181719224566677172737476777879939495100104109111113115117137[[#This Row],[PEG]],Table1016[#All],2,FALSE)</f>
        <v>0330-1.wav To hear this information again, say repeat that. If you would like me to send you a letter with instructions to start the process, say information letter.</v>
      </c>
      <c r="D22" s="113">
        <v>330</v>
      </c>
      <c r="E22" s="122" t="str">
        <f>VLOOKUP(Table25755252691013434446474849565758596315181719224566677172737476777879939495100104109111113115117137[[#This Row],[PEG]],Table1016[#All],3,FALSE)</f>
        <v>MENU PROMPT</v>
      </c>
    </row>
    <row r="23" spans="1:5">
      <c r="A23" s="114">
        <v>16</v>
      </c>
      <c r="B23" s="110" t="s">
        <v>12</v>
      </c>
      <c r="C23" s="151" t="s">
        <v>607</v>
      </c>
      <c r="D23" s="113"/>
      <c r="E23" s="122" t="e">
        <f>VLOOKUP(Table25755252691013434446474849565758596315181719224566677172737476777879939495100104109111113115117137[[#This Row],[PEG]],Table1016[#All],3,FALSE)</f>
        <v>#N/A</v>
      </c>
    </row>
    <row r="24" spans="1:5">
      <c r="A24" s="114">
        <v>17</v>
      </c>
      <c r="B24" s="110" t="s">
        <v>115</v>
      </c>
      <c r="C24" s="105" t="str">
        <f>VLOOKUP(Table25755252691013434446474849565758596315181719224566677172737476777879939495100104109111113115117137[[#This Row],[PEG]],Table1016[#All],2,FALSE)</f>
        <v>Sorry.</v>
      </c>
      <c r="D24" s="113" t="s">
        <v>295</v>
      </c>
      <c r="E24" s="122" t="str">
        <f>VLOOKUP(Table25755252691013434446474849565758596315181719224566677172737476777879939495100104109111113115117137[[#This Row],[PEG]],Table1016[#All],3,FALSE)</f>
        <v>PLAY PROMPT</v>
      </c>
    </row>
    <row r="25" spans="1:5" ht="30">
      <c r="A25" s="114">
        <v>18</v>
      </c>
      <c r="B25" s="110" t="s">
        <v>115</v>
      </c>
      <c r="C25" s="105" t="str">
        <f>VLOOKUP(Table25755252691013434446474849565758596315181719224566677172737476777879939495100104109111113115117137[[#This Row],[PEG]],Table1016[#All],2,FALSE)</f>
        <v>0330-2wav  To hear the instructions again, press 1. To receive a letter with instructions by mail, 2. To speak to a representative, press 0.</v>
      </c>
      <c r="D25" s="113" t="s">
        <v>382</v>
      </c>
      <c r="E25" s="122" t="str">
        <f>VLOOKUP(Table25755252691013434446474849565758596315181719224566677172737476777879939495100104109111113115117137[[#This Row],[PEG]],Table1016[#All],3,FALSE)</f>
        <v>MENU PROMPT</v>
      </c>
    </row>
    <row r="26" spans="1:5">
      <c r="A26" s="114">
        <v>19</v>
      </c>
      <c r="B26" s="110" t="s">
        <v>114</v>
      </c>
      <c r="C26" s="151" t="s">
        <v>1</v>
      </c>
      <c r="D26" s="113"/>
      <c r="E26" s="122" t="e">
        <f>VLOOKUP(Table25755252691013434446474849565758596315181719224566677172737476777879939495100104109111113115117137[[#This Row],[PEG]],Table1016[#All],3,FALSE)</f>
        <v>#N/A</v>
      </c>
    </row>
    <row r="27" spans="1:5">
      <c r="A27" s="114">
        <v>20</v>
      </c>
      <c r="B27" s="110" t="s">
        <v>115</v>
      </c>
      <c r="C27" s="105" t="str">
        <f>VLOOKUP(Table25755252691013434446474849565758596315181719224566677172737476777879939495100104109111113115117137[[#This Row],[PEG]],Table1016[#All],2,FALSE)</f>
        <v>Sorry, I'm having trouble</v>
      </c>
      <c r="D27" s="113" t="s">
        <v>297</v>
      </c>
      <c r="E27" s="122" t="str">
        <f>VLOOKUP(Table25755252691013434446474849565758596315181719224566677172737476777879939495100104109111113115117137[[#This Row],[PEG]],Table1016[#All],3,FALSE)</f>
        <v>PLAY PROMPT</v>
      </c>
    </row>
    <row r="28" spans="1:5">
      <c r="A28" s="114">
        <v>21</v>
      </c>
      <c r="B28" s="110" t="s">
        <v>115</v>
      </c>
      <c r="C28" s="105" t="str">
        <f>VLOOKUP(Table25755252691013434446474849565758596315181719224566677172737476777879939495100104109111113115117137[[#This Row],[PEG]],Table1016[#All],2,FALSE)</f>
        <v>0900.wav Please hold, while I connect you to a customer service representative.</v>
      </c>
      <c r="D28" s="113">
        <v>900</v>
      </c>
      <c r="E28" s="122" t="str">
        <f>VLOOKUP(Table25755252691013434446474849565758596315181719224566677172737476777879939495100104109111113115117137[[#This Row],[PEG]],Table1016[#All],3,FALSE)</f>
        <v>PLAY PROMPT</v>
      </c>
    </row>
    <row r="29" spans="1:5">
      <c r="A29" s="114">
        <v>22</v>
      </c>
      <c r="B29" s="110" t="s">
        <v>12</v>
      </c>
      <c r="C29" s="105" t="str">
        <f>VLOOKUP(Table25755252691013434446474849565758596315181719224566677172737476777879939495100104109111113115117137[[#This Row],[PEG]],Table1016[#All],2,FALSE)</f>
        <v>XferNbr.wav Transfer Number &lt;TransferNbr&gt;</v>
      </c>
      <c r="D29" s="113" t="s">
        <v>480</v>
      </c>
      <c r="E29" s="122" t="str">
        <f>VLOOKUP(Table25755252691013434446474849565758596315181719224566677172737476777879939495100104109111113115117137[[#This Row],[PEG]],Table1016[#All],3,FALSE)</f>
        <v>TEST</v>
      </c>
    </row>
    <row r="30" spans="1:5">
      <c r="A30" s="114">
        <v>23</v>
      </c>
      <c r="B30" s="110" t="s">
        <v>13</v>
      </c>
      <c r="C30" s="17" t="s">
        <v>13</v>
      </c>
      <c r="D30" s="111"/>
      <c r="E30" s="31"/>
    </row>
  </sheetData>
  <mergeCells count="1">
    <mergeCell ref="A1:B1"/>
  </mergeCells>
  <conditionalFormatting sqref="B8">
    <cfRule type="containsText" dxfId="4220" priority="9" operator="containsText" text="Hear">
      <formula>NOT(ISERROR(SEARCH("Hear",B8)))</formula>
    </cfRule>
  </conditionalFormatting>
  <conditionalFormatting sqref="B27:B30">
    <cfRule type="containsText" dxfId="4219" priority="15" operator="containsText" text="Hear">
      <formula>NOT(ISERROR(SEARCH("Hear",B27)))</formula>
    </cfRule>
  </conditionalFormatting>
  <conditionalFormatting sqref="E30">
    <cfRule type="containsText" dxfId="4218" priority="13" operator="containsText" text="WEB SERVICE">
      <formula>NOT(ISERROR(SEARCH("WEB SERVICE",E30)))</formula>
    </cfRule>
    <cfRule type="containsText" dxfId="4217" priority="14" operator="containsText" text="DB">
      <formula>NOT(ISERROR(SEARCH("DB",E30)))</formula>
    </cfRule>
  </conditionalFormatting>
  <conditionalFormatting sqref="C30">
    <cfRule type="expression" dxfId="4216" priority="18">
      <formula>$B30="HANGUP"</formula>
    </cfRule>
  </conditionalFormatting>
  <conditionalFormatting sqref="B19:B26">
    <cfRule type="containsText" dxfId="4215" priority="8" operator="containsText" text="Hear">
      <formula>NOT(ISERROR(SEARCH("Hear",B19)))</formula>
    </cfRule>
  </conditionalFormatting>
  <conditionalFormatting sqref="B9:B18">
    <cfRule type="containsText" dxfId="4214" priority="7" operator="containsText" text="Hear">
      <formula>NOT(ISERROR(SEARCH("Hear",B9)))</formula>
    </cfRule>
  </conditionalFormatting>
  <hyperlinks>
    <hyperlink ref="A1" location="'Test Case Overview'!A1" display="Return to Test Case Overview" xr:uid="{00000000-0004-0000-4B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9" id="{F29D8C1F-56CD-4BE8-8CC9-90DDAB0230EB}">
            <xm:f>'TC1'!$B8="HANGUP"</xm:f>
            <x14:dxf>
              <font>
                <b/>
                <i val="0"/>
              </font>
            </x14:dxf>
          </x14:cfRule>
          <x14:cfRule type="expression" priority="20" id="{7F9D693B-456D-4B6D-98E4-EC5A29E21EBB}">
            <xm:f>'TC1'!$B8="Dial"</xm:f>
            <x14:dxf>
              <font>
                <b/>
                <i val="0"/>
                <color rgb="FFFF0000"/>
              </font>
            </x14:dxf>
          </x14:cfRule>
          <xm:sqref>C8</xm:sqref>
        </x14:conditionalFormatting>
        <x14:conditionalFormatting xmlns:xm="http://schemas.microsoft.com/office/excel/2006/main">
          <x14:cfRule type="expression" priority="21" id="{537BAA13-E37F-4C3E-A202-0D45A102B470}">
            <xm:f>'TC1'!$B8="Speak"</xm:f>
            <x14:dxf>
              <font>
                <b/>
                <i val="0"/>
                <color rgb="FFFF0000"/>
              </font>
            </x14:dxf>
          </x14:cfRule>
          <xm:sqref>C8</xm:sqref>
        </x14:conditionalFormatting>
        <x14:conditionalFormatting xmlns:xm="http://schemas.microsoft.com/office/excel/2006/main">
          <x14:cfRule type="containsText" priority="17" operator="containsText" text="DB" id="{290BB1EB-1F02-41D3-A9CB-2002E7CE7ECE}">
            <xm:f>NOT(ISERROR(SEARCH("DB",'TC1'!E10)))</xm:f>
            <x14:dxf>
              <font>
                <color rgb="FF006100"/>
              </font>
              <fill>
                <patternFill>
                  <bgColor rgb="FFC6EFCE"/>
                </patternFill>
              </fill>
            </x14:dxf>
          </x14:cfRule>
          <x14:cfRule type="containsText" priority="22" operator="containsText" text="WEB SERVICE" id="{96B18E8B-827E-40DC-9268-22D9C78E63D8}">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776" id="{F29D8C1F-56CD-4BE8-8CC9-90DDAB0230EB}">
            <xm:f>'TC1'!#REF!="HANGUP"</xm:f>
            <x14:dxf>
              <font>
                <b/>
                <i val="0"/>
              </font>
            </x14:dxf>
          </x14:cfRule>
          <x14:cfRule type="expression" priority="1777" id="{7F9D693B-456D-4B6D-98E4-EC5A29E21EBB}">
            <xm:f>'TC1'!#REF!="Dial"</xm:f>
            <x14:dxf>
              <font>
                <b/>
                <i val="0"/>
                <color rgb="FFFF0000"/>
              </font>
            </x14:dxf>
          </x14:cfRule>
          <xm:sqref>C13:C15 C17 C19:C29</xm:sqref>
        </x14:conditionalFormatting>
        <x14:conditionalFormatting xmlns:xm="http://schemas.microsoft.com/office/excel/2006/main">
          <x14:cfRule type="expression" priority="1782" id="{537BAA13-E37F-4C3E-A202-0D45A102B470}">
            <xm:f>'TC1'!#REF!="Speak"</xm:f>
            <x14:dxf>
              <font>
                <b/>
                <i val="0"/>
                <color rgb="FFFF0000"/>
              </font>
            </x14:dxf>
          </x14:cfRule>
          <xm:sqref>C13:C15 C17 C19:C29</xm:sqref>
        </x14:conditionalFormatting>
        <x14:conditionalFormatting xmlns:xm="http://schemas.microsoft.com/office/excel/2006/main">
          <x14:cfRule type="containsText" priority="1788" operator="containsText" text="DB" id="{290BB1EB-1F02-41D3-A9CB-2002E7CE7ECE}">
            <xm:f>NOT(ISERROR(SEARCH("DB",'TC1'!#REF!)))</xm:f>
            <x14:dxf>
              <font>
                <color rgb="FF006100"/>
              </font>
              <fill>
                <patternFill>
                  <bgColor rgb="FFC6EFCE"/>
                </patternFill>
              </fill>
            </x14:dxf>
          </x14:cfRule>
          <x14:cfRule type="containsText" priority="1789" operator="containsText" text="WEB SERVICE" id="{96B18E8B-827E-40DC-9268-22D9C78E63D8}">
            <xm:f>NOT(ISERROR(SEARCH("WEB SERVICE",'TC1'!#REF!)))</xm:f>
            <x14:dxf>
              <font>
                <color rgb="FF9C0006"/>
              </font>
              <fill>
                <patternFill>
                  <bgColor rgb="FFFFC7CE"/>
                </patternFill>
              </fill>
            </x14:dxf>
          </x14:cfRule>
          <xm:sqref>E13:E29</xm:sqref>
        </x14:conditionalFormatting>
        <x14:conditionalFormatting xmlns:xm="http://schemas.microsoft.com/office/excel/2006/main">
          <x14:cfRule type="expression" priority="3966" id="{F29D8C1F-56CD-4BE8-8CC9-90DDAB0230EB}">
            <xm:f>'TC1'!$B10="HANGUP"</xm:f>
            <x14:dxf>
              <font>
                <b/>
                <i val="0"/>
              </font>
            </x14:dxf>
          </x14:cfRule>
          <x14:cfRule type="expression" priority="3967" id="{7F9D693B-456D-4B6D-98E4-EC5A29E21EBB}">
            <xm:f>'TC1'!$B10="Dial"</xm:f>
            <x14:dxf>
              <font>
                <b/>
                <i val="0"/>
                <color rgb="FFFF0000"/>
              </font>
            </x14:dxf>
          </x14:cfRule>
          <xm:sqref>C9:C12</xm:sqref>
        </x14:conditionalFormatting>
        <x14:conditionalFormatting xmlns:xm="http://schemas.microsoft.com/office/excel/2006/main">
          <x14:cfRule type="expression" priority="3969" id="{537BAA13-E37F-4C3E-A202-0D45A102B470}">
            <xm:f>'TC1'!$B10="Speak"</xm:f>
            <x14:dxf>
              <font>
                <b/>
                <i val="0"/>
                <color rgb="FFFF0000"/>
              </font>
            </x14:dxf>
          </x14:cfRule>
          <xm:sqref>C9:C12</xm:sqref>
        </x14:conditionalFormatting>
        <x14:conditionalFormatting xmlns:xm="http://schemas.microsoft.com/office/excel/2006/main">
          <x14:cfRule type="expression" priority="4" id="{1398FD7F-89CC-4D19-BE94-71814462746B}">
            <xm:f>'\Users\deannah\Wyndham Testing\[Wyndham Destinations_TestCaseOverview_V3_Template.xlsx]TC1'!#REF!="HANGUP"</xm:f>
            <x14:dxf>
              <font>
                <b/>
                <i val="0"/>
              </font>
            </x14:dxf>
          </x14:cfRule>
          <x14:cfRule type="expression" priority="5" id="{0046C037-ACC6-48AF-B727-9FF3ED37BE28}">
            <xm:f>'\Users\deannah\Wyndham Testing\[Wyndham Destinations_TestCaseOverview_V3_Template.xlsx]TC1'!#REF!="Dial"</xm:f>
            <x14:dxf>
              <font>
                <b/>
                <i val="0"/>
                <color rgb="FFFF0000"/>
              </font>
            </x14:dxf>
          </x14:cfRule>
          <xm:sqref>C16</xm:sqref>
        </x14:conditionalFormatting>
        <x14:conditionalFormatting xmlns:xm="http://schemas.microsoft.com/office/excel/2006/main">
          <x14:cfRule type="expression" priority="6" id="{FEB22AA5-07B0-4C40-8C62-9B7BB3B6DC60}">
            <xm:f>'\Users\deannah\Wyndham Testing\[Wyndham Destinations_TestCaseOverview_V3_Template.xlsx]TC1'!#REF!="Speak"</xm:f>
            <x14:dxf>
              <font>
                <b/>
                <i val="0"/>
                <color rgb="FFFF0000"/>
              </font>
            </x14:dxf>
          </x14:cfRule>
          <xm:sqref>C16</xm:sqref>
        </x14:conditionalFormatting>
        <x14:conditionalFormatting xmlns:xm="http://schemas.microsoft.com/office/excel/2006/main">
          <x14:cfRule type="expression" priority="1" id="{57DC81B1-C617-41C5-8281-BC840EE16EBC}">
            <xm:f>'\Users\deannah\Wyndham Testing\[Wyndham Destinations_TestCaseOverview_V3_Template.xlsx]TC1'!#REF!="HANGUP"</xm:f>
            <x14:dxf>
              <font>
                <b/>
                <i val="0"/>
              </font>
            </x14:dxf>
          </x14:cfRule>
          <x14:cfRule type="expression" priority="2" id="{13207192-C026-4E31-9ABF-2BBA1C8AEEC2}">
            <xm:f>'\Users\deannah\Wyndham Testing\[Wyndham Destinations_TestCaseOverview_V3_Template.xlsx]TC1'!#REF!="Dial"</xm:f>
            <x14:dxf>
              <font>
                <b/>
                <i val="0"/>
                <color rgb="FFFF0000"/>
              </font>
            </x14:dxf>
          </x14:cfRule>
          <xm:sqref>C18</xm:sqref>
        </x14:conditionalFormatting>
        <x14:conditionalFormatting xmlns:xm="http://schemas.microsoft.com/office/excel/2006/main">
          <x14:cfRule type="expression" priority="3" id="{C26BB95A-A582-4707-904A-D0FA7DD8F0DD}">
            <xm:f>'\Users\deannah\Wyndham Testing\[Wyndham Destinations_TestCaseOverview_V3_Template.xlsx]TC1'!#REF!="Speak"</xm:f>
            <x14:dxf>
              <font>
                <b/>
                <i val="0"/>
                <color rgb="FFFF0000"/>
              </font>
            </x14:dxf>
          </x14:cfRule>
          <xm:sqref>C18</xm:sqref>
        </x14:conditionalFormatting>
      </x14:conditionalFormattings>
    </ext>
  </extLst>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8"/>
  <dimension ref="A1:E23"/>
  <sheetViews>
    <sheetView zoomScaleNormal="100" workbookViewId="0">
      <selection activeCell="D9" sqref="D9:D20"/>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TC76</v>
      </c>
    </row>
    <row r="3" spans="1:5">
      <c r="A3" s="100" t="s">
        <v>19</v>
      </c>
      <c r="B3" s="108">
        <f ca="1">VLOOKUP(B2,Table1[#All],2,FALSE)</f>
        <v>0</v>
      </c>
    </row>
    <row r="4" spans="1:5" ht="30">
      <c r="A4" s="109" t="s">
        <v>20</v>
      </c>
      <c r="B4" s="95" t="str">
        <f ca="1">VLOOKUP(B2,Table1[#All],4,FALSE)</f>
        <v>FIN SVCS</v>
      </c>
    </row>
    <row r="5" spans="1:5" ht="30">
      <c r="A5" s="100" t="s">
        <v>6</v>
      </c>
      <c r="B5" s="89" t="str">
        <f ca="1">VLOOKUP(B2,Table1[#All],3,FALSE)</f>
        <v>CallStart Main Menu /Payments /no input 2x/xfer</v>
      </c>
    </row>
    <row r="7" spans="1:5" ht="15.75">
      <c r="A7" s="96" t="s">
        <v>7</v>
      </c>
      <c r="B7" s="97" t="s">
        <v>8</v>
      </c>
      <c r="C7" s="98" t="s">
        <v>9</v>
      </c>
      <c r="D7" s="98" t="s">
        <v>14</v>
      </c>
      <c r="E7" s="99" t="s">
        <v>10</v>
      </c>
    </row>
    <row r="8" spans="1:5">
      <c r="A8" s="114">
        <v>1</v>
      </c>
      <c r="B8" s="110" t="s">
        <v>114</v>
      </c>
      <c r="C8" s="105" t="s">
        <v>125</v>
      </c>
      <c r="D8" s="125"/>
      <c r="E8" s="122" t="s">
        <v>11</v>
      </c>
    </row>
    <row r="9" spans="1:5">
      <c r="A9" s="114">
        <v>2</v>
      </c>
      <c r="B9" s="110" t="s">
        <v>115</v>
      </c>
      <c r="C9" s="105" t="str">
        <f>VLOOKUP(Table25755252691013434446474849565758596315181719224566677172737476777879939495100104109111113115117138[[#This Row],[PEG]],Table1016[#All],2,FALSE)</f>
        <v>CallID.wav Call ID &lt;CallID&gt;</v>
      </c>
      <c r="D9" s="149" t="s">
        <v>477</v>
      </c>
      <c r="E9" s="122" t="str">
        <f>VLOOKUP(Table25755252691013434446474849565758596315181719224566677172737476777879939495100104109111113115117138[[#This Row],[PEG]],Table1016[#All],3,FALSE)</f>
        <v>TEST</v>
      </c>
    </row>
    <row r="10" spans="1:5" ht="30">
      <c r="A10" s="114">
        <v>3</v>
      </c>
      <c r="B10" s="110" t="s">
        <v>115</v>
      </c>
      <c r="C10" s="105" t="str">
        <f>VLOOKUP(Table25755252691013434446474849565758596315181719224566677172737476777879939495100104109111113115117138[[#This Row],[PEG]],Table1016[#All],2,FALSE)</f>
        <v>0100.wav Thank you for calling Shell vacations Club, we are glad you called. Please have your account number available for faster service. [To continue in Spanish, press 9]</v>
      </c>
      <c r="D10" s="149">
        <v>100</v>
      </c>
      <c r="E10" s="122" t="str">
        <f>VLOOKUP(Table25755252691013434446474849565758596315181719224566677172737476777879939495100104109111113115117138[[#This Row],[PEG]],Table1016[#All],3,FALSE)</f>
        <v>PLAY PROMPT</v>
      </c>
    </row>
    <row r="11" spans="1:5" ht="30">
      <c r="A11" s="114">
        <v>4</v>
      </c>
      <c r="B11" s="110" t="s">
        <v>115</v>
      </c>
      <c r="C11" s="105" t="str">
        <f>VLOOKUP(Table25755252691013434446474849565758596315181719224566677172737476777879939495100104109111113115117138[[#This Row],[PEG]],Table1016[#All],2,FALSE)</f>
        <v>0110-1.wav Which would you like? You can say... reservations, payments &amp; statements, title &amp; ownership changes, or more options.</v>
      </c>
      <c r="D11" s="149">
        <v>110</v>
      </c>
      <c r="E11" s="122" t="str">
        <f>VLOOKUP(Table25755252691013434446474849565758596315181719224566677172737476777879939495100104109111113115117138[[#This Row],[PEG]],Table1016[#All],3,FALSE)</f>
        <v>MENU PROMPT</v>
      </c>
    </row>
    <row r="12" spans="1:5">
      <c r="A12" s="114">
        <v>5</v>
      </c>
      <c r="B12" s="110" t="s">
        <v>124</v>
      </c>
      <c r="C12" s="158" t="s">
        <v>565</v>
      </c>
      <c r="D12" s="149"/>
      <c r="E12" s="122" t="e">
        <f>VLOOKUP(Table25755252691013434446474849565758596315181719224566677172737476777879939495100104109111113115117138[[#This Row],[PEG]],Table1016[#All],3,FALSE)</f>
        <v>#N/A</v>
      </c>
    </row>
    <row r="13" spans="1:5" ht="30">
      <c r="A13" s="114">
        <v>6</v>
      </c>
      <c r="B13" s="110" t="s">
        <v>115</v>
      </c>
      <c r="C13" s="105" t="str">
        <f>VLOOKUP(Table25755252691013434446474849565758596315181719224566677172737476777879939495100104109111113115117138[[#This Row],[PEG]],Table1016[#All],2,FALSE)</f>
        <v>400.wav You can say make a payment, check account status, request a document, or more options. Which would you like?</v>
      </c>
      <c r="D13" s="149">
        <v>400</v>
      </c>
      <c r="E13" s="122" t="str">
        <f>VLOOKUP(Table25755252691013434446474849565758596315181719224566677172737476777879939495100104109111113115117138[[#This Row],[PEG]],Table1016[#All],3,FALSE)</f>
        <v>MENU PROMPT</v>
      </c>
    </row>
    <row r="14" spans="1:5">
      <c r="A14" s="114">
        <v>7</v>
      </c>
      <c r="B14" s="110" t="s">
        <v>12</v>
      </c>
      <c r="C14" s="151" t="s">
        <v>607</v>
      </c>
      <c r="D14" s="125"/>
      <c r="E14" s="122" t="e">
        <f>VLOOKUP(Table25755252691013434446474849565758596315181719224566677172737476777879939495100104109111113115117138[[#This Row],[PEG]],Table1016[#All],3,FALSE)</f>
        <v>#N/A</v>
      </c>
    </row>
    <row r="15" spans="1:5">
      <c r="A15" s="114">
        <v>8</v>
      </c>
      <c r="B15" s="110" t="s">
        <v>115</v>
      </c>
      <c r="C15" s="105" t="str">
        <f>VLOOKUP(Table25755252691013434446474849565758596315181719224566677172737476777879939495100104109111113115117138[[#This Row],[PEG]],Table1016[#All],2,FALSE)</f>
        <v>Sorry.</v>
      </c>
      <c r="D15" s="112" t="s">
        <v>295</v>
      </c>
      <c r="E15" s="122" t="str">
        <f>VLOOKUP(Table25755252691013434446474849565758596315181719224566677172737476777879939495100104109111113115117138[[#This Row],[PEG]],Table1016[#All],3,FALSE)</f>
        <v>PLAY PROMPT</v>
      </c>
    </row>
    <row r="16" spans="1:5" ht="30">
      <c r="A16" s="114">
        <v>9</v>
      </c>
      <c r="B16" s="110" t="s">
        <v>12</v>
      </c>
      <c r="C16" s="105" t="str">
        <f>VLOOKUP(Table25755252691013434446474849565758596315181719224566677172737476777879939495100104109111113115117138[[#This Row],[PEG]],Table1016[#All],2,FALSE)</f>
        <v>0400FinSvcsMenuRetry.wav  To make a payment, press 1. Check account status, 2. Request a document, 3. More options, 4. To speak to a representative, press 0.</v>
      </c>
      <c r="D16" s="112" t="s">
        <v>383</v>
      </c>
      <c r="E16" s="122" t="str">
        <f>VLOOKUP(Table25755252691013434446474849565758596315181719224566677172737476777879939495100104109111113115117138[[#This Row],[PEG]],Table1016[#All],3,FALSE)</f>
        <v>MENU PROMPT</v>
      </c>
    </row>
    <row r="17" spans="1:5">
      <c r="A17" s="114">
        <v>10</v>
      </c>
      <c r="B17" s="110" t="s">
        <v>12</v>
      </c>
      <c r="C17" s="151" t="s">
        <v>607</v>
      </c>
      <c r="D17" s="113"/>
      <c r="E17" s="122" t="e">
        <f>VLOOKUP(Table25755252691013434446474849565758596315181719224566677172737476777879939495100104109111113115117138[[#This Row],[PEG]],Table1016[#All],3,FALSE)</f>
        <v>#N/A</v>
      </c>
    </row>
    <row r="18" spans="1:5">
      <c r="A18" s="114">
        <v>11</v>
      </c>
      <c r="B18" s="110" t="s">
        <v>115</v>
      </c>
      <c r="C18" s="105" t="str">
        <f>VLOOKUP(Table25755252691013434446474849565758596315181719224566677172737476777879939495100104109111113115117138[[#This Row],[PEG]],Table1016[#All],2,FALSE)</f>
        <v>Sorry, I'm having trouble</v>
      </c>
      <c r="D18" s="112" t="s">
        <v>297</v>
      </c>
      <c r="E18" s="122" t="str">
        <f>VLOOKUP(Table25755252691013434446474849565758596315181719224566677172737476777879939495100104109111113115117138[[#This Row],[PEG]],Table1016[#All],3,FALSE)</f>
        <v>PLAY PROMPT</v>
      </c>
    </row>
    <row r="19" spans="1:5">
      <c r="A19" s="114">
        <v>12</v>
      </c>
      <c r="B19" s="110" t="s">
        <v>115</v>
      </c>
      <c r="C19" s="105" t="str">
        <f>VLOOKUP(Table25755252691013434446474849565758596315181719224566677172737476777879939495100104109111113115117138[[#This Row],[PEG]],Table1016[#All],2,FALSE)</f>
        <v>0900.wav Please hold, while I connect you to a customer service representative.</v>
      </c>
      <c r="D19" s="113">
        <v>900</v>
      </c>
      <c r="E19" s="122" t="str">
        <f>VLOOKUP(Table25755252691013434446474849565758596315181719224566677172737476777879939495100104109111113115117138[[#This Row],[PEG]],Table1016[#All],3,FALSE)</f>
        <v>PLAY PROMPT</v>
      </c>
    </row>
    <row r="20" spans="1:5">
      <c r="A20" s="114">
        <v>13</v>
      </c>
      <c r="B20" s="110" t="s">
        <v>115</v>
      </c>
      <c r="C20" s="105" t="str">
        <f>VLOOKUP(Table25755252691013434446474849565758596315181719224566677172737476777879939495100104109111113115117138[[#This Row],[PEG]],Table1016[#All],2,FALSE)</f>
        <v>XferNbr.wav Transfer Number &lt;TransferNbr&gt;</v>
      </c>
      <c r="D20" s="113" t="s">
        <v>480</v>
      </c>
      <c r="E20" s="122" t="str">
        <f>VLOOKUP(Table25755252691013434446474849565758596315181719224566677172737476777879939495100104109111113115117138[[#This Row],[PEG]],Table1016[#All],3,FALSE)</f>
        <v>TEST</v>
      </c>
    </row>
    <row r="21" spans="1:5">
      <c r="A21" s="114">
        <v>14</v>
      </c>
      <c r="B21" s="110" t="s">
        <v>13</v>
      </c>
      <c r="C21" s="17" t="s">
        <v>13</v>
      </c>
      <c r="D21" s="111"/>
      <c r="E21" s="31"/>
    </row>
    <row r="22" spans="1:5">
      <c r="C22" s="26"/>
    </row>
    <row r="23" spans="1:5">
      <c r="C23" s="26"/>
    </row>
  </sheetData>
  <mergeCells count="1">
    <mergeCell ref="A1:B1"/>
  </mergeCells>
  <conditionalFormatting sqref="C22:C9962">
    <cfRule type="expression" dxfId="4185" priority="23">
      <formula>$B22="Dial"</formula>
    </cfRule>
    <cfRule type="expression" dxfId="4184" priority="25">
      <formula>$B22="HANGUP"</formula>
    </cfRule>
  </conditionalFormatting>
  <conditionalFormatting sqref="B8 B13:B18">
    <cfRule type="containsText" dxfId="4183" priority="2" operator="containsText" text="Hear">
      <formula>NOT(ISERROR(SEARCH("Hear",B8)))</formula>
    </cfRule>
  </conditionalFormatting>
  <conditionalFormatting sqref="B19:B21">
    <cfRule type="containsText" dxfId="4182" priority="8" operator="containsText" text="Hear">
      <formula>NOT(ISERROR(SEARCH("Hear",B19)))</formula>
    </cfRule>
  </conditionalFormatting>
  <conditionalFormatting sqref="E21">
    <cfRule type="containsText" dxfId="4181" priority="6" operator="containsText" text="WEB SERVICE">
      <formula>NOT(ISERROR(SEARCH("WEB SERVICE",E21)))</formula>
    </cfRule>
    <cfRule type="containsText" dxfId="4180" priority="7" operator="containsText" text="DB">
      <formula>NOT(ISERROR(SEARCH("DB",E21)))</formula>
    </cfRule>
  </conditionalFormatting>
  <conditionalFormatting sqref="C21">
    <cfRule type="expression" dxfId="4179" priority="11">
      <formula>$B21="HANGUP"</formula>
    </cfRule>
  </conditionalFormatting>
  <conditionalFormatting sqref="B9:B12">
    <cfRule type="containsText" dxfId="4178" priority="1" operator="containsText" text="Hear">
      <formula>NOT(ISERROR(SEARCH("Hear",B9)))</formula>
    </cfRule>
  </conditionalFormatting>
  <hyperlinks>
    <hyperlink ref="A1" location="'Test Case Overview'!A1" display="Return to Test Case Overview" xr:uid="{00000000-0004-0000-4C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2" id="{1FDF1532-A688-4602-9E9A-470BFC06038D}">
            <xm:f>'TC1'!$B8="HANGUP"</xm:f>
            <x14:dxf>
              <font>
                <b/>
                <i val="0"/>
              </font>
            </x14:dxf>
          </x14:cfRule>
          <x14:cfRule type="expression" priority="13" id="{8766B4B9-295C-4001-AF2B-E629AE242EBA}">
            <xm:f>'TC1'!$B8="Dial"</xm:f>
            <x14:dxf>
              <font>
                <b/>
                <i val="0"/>
                <color rgb="FFFF0000"/>
              </font>
            </x14:dxf>
          </x14:cfRule>
          <xm:sqref>C8</xm:sqref>
        </x14:conditionalFormatting>
        <x14:conditionalFormatting xmlns:xm="http://schemas.microsoft.com/office/excel/2006/main">
          <x14:cfRule type="expression" priority="14" id="{2D5D42FC-20B6-49D6-9098-1CE1B83B447E}">
            <xm:f>'TC1'!$B8="Speak"</xm:f>
            <x14:dxf>
              <font>
                <b/>
                <i val="0"/>
                <color rgb="FFFF0000"/>
              </font>
            </x14:dxf>
          </x14:cfRule>
          <xm:sqref>C8</xm:sqref>
        </x14:conditionalFormatting>
        <x14:conditionalFormatting xmlns:xm="http://schemas.microsoft.com/office/excel/2006/main">
          <x14:cfRule type="containsText" priority="10" operator="containsText" text="DB" id="{B425F850-5368-482C-B0B1-6878A9B3AFA6}">
            <xm:f>NOT(ISERROR(SEARCH("DB",'TC1'!E10)))</xm:f>
            <x14:dxf>
              <font>
                <color rgb="FF006100"/>
              </font>
              <fill>
                <patternFill>
                  <bgColor rgb="FFC6EFCE"/>
                </patternFill>
              </fill>
            </x14:dxf>
          </x14:cfRule>
          <x14:cfRule type="containsText" priority="15" operator="containsText" text="WEB SERVICE" id="{B57DABEC-129A-4035-8025-0F5186B93244}">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789" id="{1FDF1532-A688-4602-9E9A-470BFC06038D}">
            <xm:f>'TC1'!#REF!="HANGUP"</xm:f>
            <x14:dxf>
              <font>
                <b/>
                <i val="0"/>
              </font>
            </x14:dxf>
          </x14:cfRule>
          <x14:cfRule type="expression" priority="1790" id="{8766B4B9-295C-4001-AF2B-E629AE242EBA}">
            <xm:f>'TC1'!#REF!="Dial"</xm:f>
            <x14:dxf>
              <font>
                <b/>
                <i val="0"/>
                <color rgb="FFFF0000"/>
              </font>
            </x14:dxf>
          </x14:cfRule>
          <xm:sqref>C13:C20</xm:sqref>
        </x14:conditionalFormatting>
        <x14:conditionalFormatting xmlns:xm="http://schemas.microsoft.com/office/excel/2006/main">
          <x14:cfRule type="expression" priority="1795" id="{2D5D42FC-20B6-49D6-9098-1CE1B83B447E}">
            <xm:f>'TC1'!#REF!="Speak"</xm:f>
            <x14:dxf>
              <font>
                <b/>
                <i val="0"/>
                <color rgb="FFFF0000"/>
              </font>
            </x14:dxf>
          </x14:cfRule>
          <xm:sqref>C13:C20</xm:sqref>
        </x14:conditionalFormatting>
        <x14:conditionalFormatting xmlns:xm="http://schemas.microsoft.com/office/excel/2006/main">
          <x14:cfRule type="containsText" priority="1801" operator="containsText" text="DB" id="{B425F850-5368-482C-B0B1-6878A9B3AFA6}">
            <xm:f>NOT(ISERROR(SEARCH("DB",'TC1'!#REF!)))</xm:f>
            <x14:dxf>
              <font>
                <color rgb="FF006100"/>
              </font>
              <fill>
                <patternFill>
                  <bgColor rgb="FFC6EFCE"/>
                </patternFill>
              </fill>
            </x14:dxf>
          </x14:cfRule>
          <x14:cfRule type="containsText" priority="1802" operator="containsText" text="WEB SERVICE" id="{B57DABEC-129A-4035-8025-0F5186B93244}">
            <xm:f>NOT(ISERROR(SEARCH("WEB SERVICE",'TC1'!#REF!)))</xm:f>
            <x14:dxf>
              <font>
                <color rgb="FF9C0006"/>
              </font>
              <fill>
                <patternFill>
                  <bgColor rgb="FFFFC7CE"/>
                </patternFill>
              </fill>
            </x14:dxf>
          </x14:cfRule>
          <xm:sqref>E13:E20</xm:sqref>
        </x14:conditionalFormatting>
        <x14:conditionalFormatting xmlns:xm="http://schemas.microsoft.com/office/excel/2006/main">
          <x14:cfRule type="expression" priority="3967" id="{1FDF1532-A688-4602-9E9A-470BFC06038D}">
            <xm:f>'TC1'!$B10="HANGUP"</xm:f>
            <x14:dxf>
              <font>
                <b/>
                <i val="0"/>
              </font>
            </x14:dxf>
          </x14:cfRule>
          <x14:cfRule type="expression" priority="3968" id="{8766B4B9-295C-4001-AF2B-E629AE242EBA}">
            <xm:f>'TC1'!$B10="Dial"</xm:f>
            <x14:dxf>
              <font>
                <b/>
                <i val="0"/>
                <color rgb="FFFF0000"/>
              </font>
            </x14:dxf>
          </x14:cfRule>
          <xm:sqref>C9:C12</xm:sqref>
        </x14:conditionalFormatting>
        <x14:conditionalFormatting xmlns:xm="http://schemas.microsoft.com/office/excel/2006/main">
          <x14:cfRule type="expression" priority="3970" id="{2D5D42FC-20B6-49D6-9098-1CE1B83B447E}">
            <xm:f>'TC1'!$B10="Speak"</xm:f>
            <x14:dxf>
              <font>
                <b/>
                <i val="0"/>
                <color rgb="FFFF0000"/>
              </font>
            </x14:dxf>
          </x14:cfRule>
          <xm:sqref>C9:C12</xm:sqref>
        </x14:conditionalFormatting>
      </x14:conditionalFormattings>
    </ext>
  </extLst>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79"/>
  <dimension ref="A1:E25"/>
  <sheetViews>
    <sheetView zoomScaleNormal="100" workbookViewId="0">
      <selection activeCell="C15" sqref="C15"/>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TC77</v>
      </c>
    </row>
    <row r="3" spans="1:5">
      <c r="A3" s="100" t="s">
        <v>19</v>
      </c>
      <c r="B3" s="108">
        <f ca="1">VLOOKUP(B2,Table1[#All],2,FALSE)</f>
        <v>0</v>
      </c>
    </row>
    <row r="4" spans="1:5" ht="30">
      <c r="A4" s="109" t="s">
        <v>20</v>
      </c>
      <c r="B4" s="95" t="str">
        <f ca="1">VLOOKUP(B2,Table1[#All],4,FALSE)</f>
        <v>FIN HWSE</v>
      </c>
    </row>
    <row r="5" spans="1:5" ht="30">
      <c r="A5" s="100" t="s">
        <v>6</v>
      </c>
      <c r="B5" s="89" t="str">
        <f ca="1">VLOOKUP(B2,Table1[#All],3,FALSE)</f>
        <v>CallStart Main Menu /Payments /more options/no match 2X/sfer</v>
      </c>
    </row>
    <row r="7" spans="1:5" ht="15.75">
      <c r="A7" s="96" t="s">
        <v>7</v>
      </c>
      <c r="B7" s="97" t="s">
        <v>8</v>
      </c>
      <c r="C7" s="98" t="s">
        <v>9</v>
      </c>
      <c r="D7" s="98" t="s">
        <v>14</v>
      </c>
      <c r="E7" s="99" t="s">
        <v>10</v>
      </c>
    </row>
    <row r="8" spans="1:5">
      <c r="A8" s="114">
        <v>1</v>
      </c>
      <c r="B8" s="110" t="s">
        <v>114</v>
      </c>
      <c r="C8" s="105" t="s">
        <v>125</v>
      </c>
      <c r="D8" s="149"/>
      <c r="E8" s="122" t="s">
        <v>11</v>
      </c>
    </row>
    <row r="9" spans="1:5">
      <c r="A9" s="114">
        <v>2</v>
      </c>
      <c r="B9" s="110" t="s">
        <v>12</v>
      </c>
      <c r="C9" s="105" t="str">
        <f>VLOOKUP(Table25755252691013434446474849565758596315181719224566677172737476777879939495100104109111113115117138139[[#This Row],[PEG]],Table1016[#All],2,FALSE)</f>
        <v>CallID.wav Call ID &lt;CallID&gt;</v>
      </c>
      <c r="D9" s="149" t="s">
        <v>477</v>
      </c>
      <c r="E9" s="122" t="str">
        <f>VLOOKUP(Table25755252691013434446474849565758596315181719224566677172737476777879939495100104109111113115117138139[[#This Row],[PEG]],Table1016[#All],3,FALSE)</f>
        <v>TEST</v>
      </c>
    </row>
    <row r="10" spans="1:5" ht="30">
      <c r="A10" s="114">
        <v>3</v>
      </c>
      <c r="B10" s="110" t="s">
        <v>115</v>
      </c>
      <c r="C10" s="105" t="str">
        <f>VLOOKUP(Table25755252691013434446474849565758596315181719224566677172737476777879939495100104109111113115117138139[[#This Row],[PEG]],Table1016[#All],2,FALSE)</f>
        <v>0100.wav Thank you for calling Shell vacations Club, we are glad you called. Please have your account number available for faster service. [To continue in Spanish, press 9]</v>
      </c>
      <c r="D10" s="149">
        <v>100</v>
      </c>
      <c r="E10" s="122" t="str">
        <f>VLOOKUP(Table25755252691013434446474849565758596315181719224566677172737476777879939495100104109111113115117138139[[#This Row],[PEG]],Table1016[#All],3,FALSE)</f>
        <v>PLAY PROMPT</v>
      </c>
    </row>
    <row r="11" spans="1:5" ht="30">
      <c r="A11" s="114">
        <v>4</v>
      </c>
      <c r="B11" s="110" t="s">
        <v>115</v>
      </c>
      <c r="C11" s="105" t="str">
        <f>VLOOKUP(Table25755252691013434446474849565758596315181719224566677172737476777879939495100104109111113115117138139[[#This Row],[PEG]],Table1016[#All],2,FALSE)</f>
        <v>0110-1.wav Which would you like? You can say... reservations, payments &amp; statements, title &amp; ownership changes, or more options.</v>
      </c>
      <c r="D11" s="149">
        <v>110</v>
      </c>
      <c r="E11" s="122" t="str">
        <f>VLOOKUP(Table25755252691013434446474849565758596315181719224566677172737476777879939495100104109111113115117138139[[#This Row],[PEG]],Table1016[#All],3,FALSE)</f>
        <v>MENU PROMPT</v>
      </c>
    </row>
    <row r="12" spans="1:5">
      <c r="A12" s="114">
        <v>5</v>
      </c>
      <c r="B12" s="110" t="s">
        <v>124</v>
      </c>
      <c r="C12" s="158" t="s">
        <v>565</v>
      </c>
      <c r="D12" s="149"/>
      <c r="E12" s="122" t="e">
        <f>VLOOKUP(Table25755252691013434446474849565758596315181719224566677172737476777879939495100104109111113115117138139[[#This Row],[PEG]],Table1016[#All],3,FALSE)</f>
        <v>#N/A</v>
      </c>
    </row>
    <row r="13" spans="1:5" ht="30">
      <c r="A13" s="114">
        <v>6</v>
      </c>
      <c r="B13" s="110" t="s">
        <v>115</v>
      </c>
      <c r="C13" s="105" t="str">
        <f>VLOOKUP(Table25755252691013434446474849565758596315181719224566677172737476777879939495100104109111113115117138139[[#This Row],[PEG]],Table1016[#All],2,FALSE)</f>
        <v>400.wav You can say make a payment, check account status, request a document, or more options. Which would you like?</v>
      </c>
      <c r="D13" s="149">
        <v>400</v>
      </c>
      <c r="E13" s="122" t="str">
        <f>VLOOKUP(Table25755252691013434446474849565758596315181719224566677172737476777879939495100104109111113115117138139[[#This Row],[PEG]],Table1016[#All],3,FALSE)</f>
        <v>MENU PROMPT</v>
      </c>
    </row>
    <row r="14" spans="1:5">
      <c r="A14" s="114">
        <v>7</v>
      </c>
      <c r="B14" s="110" t="s">
        <v>124</v>
      </c>
      <c r="C14" s="151" t="s">
        <v>468</v>
      </c>
      <c r="D14" s="149"/>
      <c r="E14" s="122" t="e">
        <f>VLOOKUP(Table25755252691013434446474849565758596315181719224566677172737476777879939495100104109111113115117138139[[#This Row],[PEG]],Table1016[#All],3,FALSE)</f>
        <v>#N/A</v>
      </c>
    </row>
    <row r="15" spans="1:5">
      <c r="A15" s="114">
        <v>8</v>
      </c>
      <c r="B15" s="110" t="s">
        <v>115</v>
      </c>
      <c r="C15" s="105" t="e">
        <f>VLOOKUP(Table25755252691013434446474849565758596315181719224566677172737476777879939495100104109111113115117138139[[#This Row],[PEG]],Table1016[#All],2,FALSE)</f>
        <v>#N/A</v>
      </c>
      <c r="D15" s="164">
        <v>410</v>
      </c>
      <c r="E15" s="122" t="e">
        <f>VLOOKUP(Table25755252691013434446474849565758596315181719224566677172737476777879939495100104109111113115117138139[[#This Row],[PEG]],Table1016[#All],3,FALSE)</f>
        <v>#N/A</v>
      </c>
    </row>
    <row r="16" spans="1:5">
      <c r="A16" s="114">
        <v>9</v>
      </c>
      <c r="B16" s="110" t="s">
        <v>114</v>
      </c>
      <c r="C16" s="151" t="s">
        <v>1</v>
      </c>
      <c r="D16" s="112"/>
      <c r="E16" s="122" t="e">
        <f>VLOOKUP(Table25755252691013434446474849565758596315181719224566677172737476777879939495100104109111113115117138139[[#This Row],[PEG]],Table1016[#All],3,FALSE)</f>
        <v>#N/A</v>
      </c>
    </row>
    <row r="17" spans="1:5">
      <c r="A17" s="114">
        <v>10</v>
      </c>
      <c r="B17" s="110" t="s">
        <v>115</v>
      </c>
      <c r="C17" s="105" t="str">
        <f>VLOOKUP(Table25755252691013434446474849565758596315181719224566677172737476777879939495100104109111113115117138139[[#This Row],[PEG]],Table1016[#All],2,FALSE)</f>
        <v>Sorry.</v>
      </c>
      <c r="D17" s="113" t="s">
        <v>295</v>
      </c>
      <c r="E17" s="122" t="str">
        <f>VLOOKUP(Table25755252691013434446474849565758596315181719224566677172737476777879939495100104109111113115117138139[[#This Row],[PEG]],Table1016[#All],3,FALSE)</f>
        <v>PLAY PROMPT</v>
      </c>
    </row>
    <row r="18" spans="1:5" ht="30">
      <c r="A18" s="114">
        <v>11</v>
      </c>
      <c r="B18" s="110" t="s">
        <v>115</v>
      </c>
      <c r="C18" s="105" t="str">
        <f>VLOOKUP(Table25755252691013434446474849565758596315181719224566677172737476777879939495100104109111113115117138139[[#This Row],[PEG]],Table1016[#All],2,FALSE)</f>
        <v>405PaymentsSomethingElseMenuRetry.wav For Perks by Club Wyndham, press 1, payment mailing address, 2, wire transfer information, 3, down payment questions, 4. To speak to a representative, press 0.</v>
      </c>
      <c r="D18" s="113" t="s">
        <v>384</v>
      </c>
      <c r="E18" s="122" t="str">
        <f>VLOOKUP(Table25755252691013434446474849565758596315181719224566677172737476777879939495100104109111113115117138139[[#This Row],[PEG]],Table1016[#All],3,FALSE)</f>
        <v>MENU PROMPT</v>
      </c>
    </row>
    <row r="19" spans="1:5">
      <c r="A19" s="114">
        <v>12</v>
      </c>
      <c r="B19" s="110" t="s">
        <v>114</v>
      </c>
      <c r="C19" s="151" t="s">
        <v>1</v>
      </c>
      <c r="D19" s="113"/>
      <c r="E19" s="122" t="e">
        <f>VLOOKUP(Table25755252691013434446474849565758596315181719224566677172737476777879939495100104109111113115117138139[[#This Row],[PEG]],Table1016[#All],3,FALSE)</f>
        <v>#N/A</v>
      </c>
    </row>
    <row r="20" spans="1:5">
      <c r="A20" s="114">
        <v>13</v>
      </c>
      <c r="B20" s="110" t="s">
        <v>114</v>
      </c>
      <c r="C20" s="105" t="str">
        <f>VLOOKUP(Table25755252691013434446474849565758596315181719224566677172737476777879939495100104109111113115117138139[[#This Row],[PEG]],Table1016[#All],2,FALSE)</f>
        <v>Sorry, I'm having trouble</v>
      </c>
      <c r="D20" s="113" t="s">
        <v>297</v>
      </c>
      <c r="E20" s="122" t="str">
        <f>VLOOKUP(Table25755252691013434446474849565758596315181719224566677172737476777879939495100104109111113115117138139[[#This Row],[PEG]],Table1016[#All],3,FALSE)</f>
        <v>PLAY PROMPT</v>
      </c>
    </row>
    <row r="21" spans="1:5">
      <c r="A21" s="114">
        <v>14</v>
      </c>
      <c r="B21" s="110" t="s">
        <v>115</v>
      </c>
      <c r="C21" s="105" t="str">
        <f>VLOOKUP(Table25755252691013434446474849565758596315181719224566677172737476777879939495100104109111113115117138139[[#This Row],[PEG]],Table1016[#All],2,FALSE)</f>
        <v>0900.wav Please hold, while I connect you to a customer service representative.</v>
      </c>
      <c r="D21" s="113">
        <v>900</v>
      </c>
      <c r="E21" s="122" t="str">
        <f>VLOOKUP(Table25755252691013434446474849565758596315181719224566677172737476777879939495100104109111113115117138139[[#This Row],[PEG]],Table1016[#All],3,FALSE)</f>
        <v>PLAY PROMPT</v>
      </c>
    </row>
    <row r="22" spans="1:5">
      <c r="A22" s="114">
        <v>15</v>
      </c>
      <c r="B22" s="110" t="s">
        <v>115</v>
      </c>
      <c r="C22" s="105" t="str">
        <f>VLOOKUP(Table25755252691013434446474849565758596315181719224566677172737476777879939495100104109111113115117138139[[#This Row],[PEG]],Table1016[#All],2,FALSE)</f>
        <v>XferNbr.wav Transfer Number &lt;TransferNbr&gt;</v>
      </c>
      <c r="D22" s="113" t="s">
        <v>480</v>
      </c>
      <c r="E22" s="122" t="str">
        <f>VLOOKUP(Table25755252691013434446474849565758596315181719224566677172737476777879939495100104109111113115117138139[[#This Row],[PEG]],Table1016[#All],3,FALSE)</f>
        <v>TEST</v>
      </c>
    </row>
    <row r="23" spans="1:5">
      <c r="A23" s="114">
        <v>16</v>
      </c>
      <c r="B23" s="110" t="s">
        <v>13</v>
      </c>
      <c r="C23" s="17" t="s">
        <v>13</v>
      </c>
      <c r="D23" s="111"/>
      <c r="E23" s="31"/>
    </row>
    <row r="24" spans="1:5">
      <c r="C24" s="26"/>
    </row>
    <row r="25" spans="1:5">
      <c r="C25" s="26"/>
    </row>
  </sheetData>
  <mergeCells count="1">
    <mergeCell ref="A1:B1"/>
  </mergeCells>
  <conditionalFormatting sqref="C24:C9964">
    <cfRule type="expression" dxfId="4155" priority="22">
      <formula>$B24="Dial"</formula>
    </cfRule>
    <cfRule type="expression" dxfId="4154" priority="24">
      <formula>$B24="HANGUP"</formula>
    </cfRule>
  </conditionalFormatting>
  <conditionalFormatting sqref="B8:B18">
    <cfRule type="containsText" dxfId="4153" priority="1" operator="containsText" text="Hear">
      <formula>NOT(ISERROR(SEARCH("Hear",B8)))</formula>
    </cfRule>
  </conditionalFormatting>
  <conditionalFormatting sqref="B19:B23">
    <cfRule type="containsText" dxfId="4152" priority="7" operator="containsText" text="Hear">
      <formula>NOT(ISERROR(SEARCH("Hear",B19)))</formula>
    </cfRule>
  </conditionalFormatting>
  <conditionalFormatting sqref="E23">
    <cfRule type="containsText" dxfId="4151" priority="5" operator="containsText" text="WEB SERVICE">
      <formula>NOT(ISERROR(SEARCH("WEB SERVICE",E23)))</formula>
    </cfRule>
    <cfRule type="containsText" dxfId="4150" priority="6" operator="containsText" text="DB">
      <formula>NOT(ISERROR(SEARCH("DB",E23)))</formula>
    </cfRule>
  </conditionalFormatting>
  <conditionalFormatting sqref="C23">
    <cfRule type="expression" dxfId="4149" priority="10">
      <formula>$B23="HANGUP"</formula>
    </cfRule>
    <cfRule type="expression" dxfId="4148" priority="25">
      <formula>$B23="Dial"</formula>
    </cfRule>
  </conditionalFormatting>
  <conditionalFormatting sqref="C23">
    <cfRule type="expression" dxfId="4147" priority="2">
      <formula>$B23="Speak"</formula>
    </cfRule>
  </conditionalFormatting>
  <hyperlinks>
    <hyperlink ref="A1" location="'Test Case Overview'!A1" display="Return to Test Case Overview" xr:uid="{00000000-0004-0000-4D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1" id="{E4DE3F08-2C9C-4180-9BE4-5A442DCEE30B}">
            <xm:f>'TC1'!$B8="HANGUP"</xm:f>
            <x14:dxf>
              <font>
                <b/>
                <i val="0"/>
              </font>
            </x14:dxf>
          </x14:cfRule>
          <x14:cfRule type="expression" priority="12" id="{05E76A98-5CE8-45C9-9140-7528A78898F5}">
            <xm:f>'TC1'!$B8="Dial"</xm:f>
            <x14:dxf>
              <font>
                <b/>
                <i val="0"/>
                <color rgb="FFFF0000"/>
              </font>
            </x14:dxf>
          </x14:cfRule>
          <xm:sqref>C8</xm:sqref>
        </x14:conditionalFormatting>
        <x14:conditionalFormatting xmlns:xm="http://schemas.microsoft.com/office/excel/2006/main">
          <x14:cfRule type="expression" priority="13" id="{27B70106-4957-45E5-9360-1A00795CB50D}">
            <xm:f>'TC1'!$B8="Speak"</xm:f>
            <x14:dxf>
              <font>
                <b/>
                <i val="0"/>
                <color rgb="FFFF0000"/>
              </font>
            </x14:dxf>
          </x14:cfRule>
          <xm:sqref>C8</xm:sqref>
        </x14:conditionalFormatting>
        <x14:conditionalFormatting xmlns:xm="http://schemas.microsoft.com/office/excel/2006/main">
          <x14:cfRule type="containsText" priority="9" operator="containsText" text="DB" id="{D5697766-ED5D-4E54-98D8-31F06321EA41}">
            <xm:f>NOT(ISERROR(SEARCH("DB",'TC1'!E10)))</xm:f>
            <x14:dxf>
              <font>
                <color rgb="FF006100"/>
              </font>
              <fill>
                <patternFill>
                  <bgColor rgb="FFC6EFCE"/>
                </patternFill>
              </fill>
            </x14:dxf>
          </x14:cfRule>
          <x14:cfRule type="containsText" priority="14" operator="containsText" text="WEB SERVICE" id="{26FA69AC-06DF-4A44-88ED-D02EF627F798}">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808" id="{E4DE3F08-2C9C-4180-9BE4-5A442DCEE30B}">
            <xm:f>'TC1'!#REF!="HANGUP"</xm:f>
            <x14:dxf>
              <font>
                <b/>
                <i val="0"/>
              </font>
            </x14:dxf>
          </x14:cfRule>
          <x14:cfRule type="expression" priority="1809" id="{05E76A98-5CE8-45C9-9140-7528A78898F5}">
            <xm:f>'TC1'!#REF!="Dial"</xm:f>
            <x14:dxf>
              <font>
                <b/>
                <i val="0"/>
                <color rgb="FFFF0000"/>
              </font>
            </x14:dxf>
          </x14:cfRule>
          <xm:sqref>C13:C22</xm:sqref>
        </x14:conditionalFormatting>
        <x14:conditionalFormatting xmlns:xm="http://schemas.microsoft.com/office/excel/2006/main">
          <x14:cfRule type="expression" priority="1814" id="{27B70106-4957-45E5-9360-1A00795CB50D}">
            <xm:f>'TC1'!#REF!="Speak"</xm:f>
            <x14:dxf>
              <font>
                <b/>
                <i val="0"/>
                <color rgb="FFFF0000"/>
              </font>
            </x14:dxf>
          </x14:cfRule>
          <xm:sqref>C13:C22</xm:sqref>
        </x14:conditionalFormatting>
        <x14:conditionalFormatting xmlns:xm="http://schemas.microsoft.com/office/excel/2006/main">
          <x14:cfRule type="containsText" priority="1820" operator="containsText" text="DB" id="{D5697766-ED5D-4E54-98D8-31F06321EA41}">
            <xm:f>NOT(ISERROR(SEARCH("DB",'TC1'!#REF!)))</xm:f>
            <x14:dxf>
              <font>
                <color rgb="FF006100"/>
              </font>
              <fill>
                <patternFill>
                  <bgColor rgb="FFC6EFCE"/>
                </patternFill>
              </fill>
            </x14:dxf>
          </x14:cfRule>
          <x14:cfRule type="containsText" priority="1821" operator="containsText" text="WEB SERVICE" id="{26FA69AC-06DF-4A44-88ED-D02EF627F798}">
            <xm:f>NOT(ISERROR(SEARCH("WEB SERVICE",'TC1'!#REF!)))</xm:f>
            <x14:dxf>
              <font>
                <color rgb="FF9C0006"/>
              </font>
              <fill>
                <patternFill>
                  <bgColor rgb="FFFFC7CE"/>
                </patternFill>
              </fill>
            </x14:dxf>
          </x14:cfRule>
          <xm:sqref>E13:E22</xm:sqref>
        </x14:conditionalFormatting>
        <x14:conditionalFormatting xmlns:xm="http://schemas.microsoft.com/office/excel/2006/main">
          <x14:cfRule type="expression" priority="3974" id="{E4DE3F08-2C9C-4180-9BE4-5A442DCEE30B}">
            <xm:f>'TC1'!$B10="HANGUP"</xm:f>
            <x14:dxf>
              <font>
                <b/>
                <i val="0"/>
              </font>
            </x14:dxf>
          </x14:cfRule>
          <x14:cfRule type="expression" priority="3975" id="{05E76A98-5CE8-45C9-9140-7528A78898F5}">
            <xm:f>'TC1'!$B10="Dial"</xm:f>
            <x14:dxf>
              <font>
                <b/>
                <i val="0"/>
                <color rgb="FFFF0000"/>
              </font>
            </x14:dxf>
          </x14:cfRule>
          <xm:sqref>C9:C12</xm:sqref>
        </x14:conditionalFormatting>
        <x14:conditionalFormatting xmlns:xm="http://schemas.microsoft.com/office/excel/2006/main">
          <x14:cfRule type="expression" priority="3977" id="{27B70106-4957-45E5-9360-1A00795CB50D}">
            <xm:f>'TC1'!$B10="Speak"</xm:f>
            <x14:dxf>
              <font>
                <b/>
                <i val="0"/>
                <color rgb="FFFF0000"/>
              </font>
            </x14:dxf>
          </x14:cfRule>
          <xm:sqref>C9:C12</xm:sqref>
        </x14:conditionalFormatting>
      </x14:conditionalFormattings>
    </ext>
  </extLst>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0"/>
  <dimension ref="A1:E32"/>
  <sheetViews>
    <sheetView zoomScaleNormal="100" workbookViewId="0">
      <selection activeCell="C28" sqref="C28"/>
    </sheetView>
  </sheetViews>
  <sheetFormatPr defaultRowHeight="15"/>
  <cols>
    <col min="1" max="1" width="14.42578125" style="41" bestFit="1" customWidth="1"/>
    <col min="2" max="2" width="42.7109375" style="41" customWidth="1"/>
    <col min="3" max="3" width="106.28515625" style="21" customWidth="1"/>
    <col min="4" max="4" width="21.7109375" style="32" bestFit="1" customWidth="1"/>
    <col min="5" max="5" width="20.7109375" style="41" customWidth="1"/>
  </cols>
  <sheetData>
    <row r="1" spans="1:5" ht="18.75">
      <c r="A1" s="197" t="s">
        <v>4</v>
      </c>
      <c r="B1" s="197"/>
      <c r="C1" s="101"/>
      <c r="D1" s="107"/>
      <c r="E1" s="93"/>
    </row>
    <row r="2" spans="1:5">
      <c r="A2" s="102" t="s">
        <v>5</v>
      </c>
      <c r="B2" s="103" t="str">
        <f ca="1">MID(CELL("filename",A1),FIND("]",CELL("filename",A1))+1,LEN(CELL("filename",A1))-FIND("]",CELL("filename",A1)))</f>
        <v>TC78</v>
      </c>
      <c r="C2" s="94"/>
      <c r="D2" s="107"/>
      <c r="E2" s="93"/>
    </row>
    <row r="3" spans="1:5">
      <c r="A3" s="100" t="s">
        <v>19</v>
      </c>
      <c r="B3" s="108">
        <f ca="1">VLOOKUP(B2,Table53[#All],2,FALSE)</f>
        <v>0</v>
      </c>
      <c r="C3" s="94"/>
      <c r="D3" s="107"/>
      <c r="E3" s="93"/>
    </row>
    <row r="4" spans="1:5" ht="45">
      <c r="A4" s="109" t="s">
        <v>20</v>
      </c>
      <c r="B4" s="95" t="str">
        <f ca="1">VLOOKUP(B2,Table53[#All],4,FALSE)</f>
        <v>svcArea=titleSvcs, serviceType=chgOwner, Not in progress or complete &lt;90days. 325-S-ND-E</v>
      </c>
      <c r="C4" s="94" t="s">
        <v>218</v>
      </c>
      <c r="D4" s="107"/>
      <c r="E4" s="93"/>
    </row>
    <row r="5" spans="1:5" ht="45">
      <c r="A5" s="100" t="s">
        <v>6</v>
      </c>
      <c r="B5" s="75" t="str">
        <f ca="1">VLOOKUP(B2,Table53[#All],3,FALSE)</f>
        <v>CallStart Main Menu /Title /Ownership changes/ID Auth=True/ change name at ChangeMenu/say Agent at peg 330/xfer</v>
      </c>
      <c r="C5" s="94"/>
      <c r="D5" s="107"/>
      <c r="E5" s="93"/>
    </row>
    <row r="6" spans="1:5">
      <c r="A6" s="93"/>
      <c r="B6" s="93"/>
      <c r="C6" s="94"/>
      <c r="D6" s="107"/>
      <c r="E6" s="93"/>
    </row>
    <row r="7" spans="1:5" ht="15.75">
      <c r="A7" s="96" t="s">
        <v>7</v>
      </c>
      <c r="B7" s="97" t="s">
        <v>8</v>
      </c>
      <c r="C7" s="98" t="s">
        <v>9</v>
      </c>
      <c r="D7" s="98" t="s">
        <v>14</v>
      </c>
      <c r="E7" s="99" t="s">
        <v>10</v>
      </c>
    </row>
    <row r="8" spans="1:5" s="93" customFormat="1">
      <c r="A8" s="114">
        <v>1</v>
      </c>
      <c r="B8" s="110" t="s">
        <v>114</v>
      </c>
      <c r="C8" s="105" t="s">
        <v>125</v>
      </c>
      <c r="D8" s="125"/>
      <c r="E8" s="122" t="s">
        <v>11</v>
      </c>
    </row>
    <row r="9" spans="1:5" s="93" customFormat="1">
      <c r="A9" s="114">
        <v>2</v>
      </c>
      <c r="B9" s="110" t="s">
        <v>115</v>
      </c>
      <c r="C9" s="105" t="str">
        <f>VLOOKUP(Table25755252691013434446474849565758596315181719224566677172737476777879939495100104109111113115117138139141[[#This Row],[PEG]],Table1016[#All],2,FALSE)</f>
        <v>CallID.wav Call ID &lt;CallID&gt;</v>
      </c>
      <c r="D9" s="152" t="s">
        <v>477</v>
      </c>
      <c r="E9" s="122" t="str">
        <f>VLOOKUP(Table25755252691013434446474849565758596315181719224566677172737476777879939495100104109111113115117138139141[[#This Row],[PEG]],Table1016[#All],3,FALSE)</f>
        <v>TEST</v>
      </c>
    </row>
    <row r="10" spans="1:5" s="93" customFormat="1" ht="30">
      <c r="A10" s="114">
        <v>3</v>
      </c>
      <c r="B10" s="110" t="s">
        <v>115</v>
      </c>
      <c r="C10" s="105" t="str">
        <f>VLOOKUP(Table25755252691013434446474849565758596315181719224566677172737476777879939495100104109111113115117138139141[[#This Row],[PEG]],Table1016[#All],2,FALSE)</f>
        <v>0100.wav Thank you for calling Shell vacations Club, we are glad you called. Please have your account number available for faster service. [To continue in Spanish, press 9]</v>
      </c>
      <c r="D10" s="152">
        <v>100</v>
      </c>
      <c r="E10" s="122" t="str">
        <f>VLOOKUP(Table25755252691013434446474849565758596315181719224566677172737476777879939495100104109111113115117138139141[[#This Row],[PEG]],Table1016[#All],3,FALSE)</f>
        <v>PLAY PROMPT</v>
      </c>
    </row>
    <row r="11" spans="1:5" s="93" customFormat="1" ht="30">
      <c r="A11" s="114">
        <v>4</v>
      </c>
      <c r="B11" s="110" t="s">
        <v>115</v>
      </c>
      <c r="C11" s="105" t="str">
        <f>VLOOKUP(Table25755252691013434446474849565758596315181719224566677172737476777879939495100104109111113115117138139141[[#This Row],[PEG]],Table1016[#All],2,FALSE)</f>
        <v>0110-1.wav Which would you like? You can say... reservations, payments &amp; statements, title &amp; ownership changes, or more options.</v>
      </c>
      <c r="D11" s="152">
        <v>110</v>
      </c>
      <c r="E11" s="122" t="str">
        <f>VLOOKUP(Table25755252691013434446474849565758596315181719224566677172737476777879939495100104109111113115117138139141[[#This Row],[PEG]],Table1016[#All],3,FALSE)</f>
        <v>MENU PROMPT</v>
      </c>
    </row>
    <row r="12" spans="1:5" s="93" customFormat="1">
      <c r="A12" s="114">
        <v>5</v>
      </c>
      <c r="B12" s="110" t="s">
        <v>124</v>
      </c>
      <c r="C12" s="158" t="s">
        <v>486</v>
      </c>
      <c r="D12" s="152"/>
      <c r="E12" s="122" t="e">
        <f>VLOOKUP(Table25755252691013434446474849565758596315181719224566677172737476777879939495100104109111113115117138139141[[#This Row],[PEG]],Table1016[#All],3,FALSE)</f>
        <v>#N/A</v>
      </c>
    </row>
    <row r="13" spans="1:5" s="93" customFormat="1" ht="30">
      <c r="A13" s="114">
        <v>6</v>
      </c>
      <c r="B13" s="110" t="s">
        <v>115</v>
      </c>
      <c r="C13" s="105" t="str">
        <f>VLOOKUP(Table25755252691013434446474849565758596315181719224566677172737476777879939495100104109111113115117138139141[[#This Row],[PEG]],Table1016[#All],2,FALSE)</f>
        <v>0300-1.wav You can say ownership changes, check status, make a payment, or help me with something else. Which would you like?</v>
      </c>
      <c r="D13" s="152">
        <v>300</v>
      </c>
      <c r="E13" s="122" t="str">
        <f>VLOOKUP(Table25755252691013434446474849565758596315181719224566677172737476777879939495100104109111113115117138139141[[#This Row],[PEG]],Table1016[#All],3,FALSE)</f>
        <v>MENU PROMPT</v>
      </c>
    </row>
    <row r="14" spans="1:5" s="93" customFormat="1">
      <c r="A14" s="114">
        <v>7</v>
      </c>
      <c r="B14" s="110" t="s">
        <v>124</v>
      </c>
      <c r="C14" s="151" t="s">
        <v>506</v>
      </c>
      <c r="D14" s="125"/>
      <c r="E14" s="122" t="e">
        <f>VLOOKUP(Table25755252691013434446474849565758596315181719224566677172737476777879939495100104109111113115117138139141[[#This Row],[PEG]],Table1016[#All],3,FALSE)</f>
        <v>#N/A</v>
      </c>
    </row>
    <row r="15" spans="1:5">
      <c r="A15" s="114">
        <v>8</v>
      </c>
      <c r="B15" s="110" t="s">
        <v>115</v>
      </c>
      <c r="C15" s="105" t="str">
        <f>VLOOKUP(Table25755252691013434446474849565758596315181719224566677172737476777879939495100104109111113115117138139141[[#This Row],[PEG]],Table1016[#All],2,FALSE)</f>
        <v>0200-1.wav To get started, what is your account number?</v>
      </c>
      <c r="D15" s="153">
        <v>200</v>
      </c>
      <c r="E15" s="122" t="str">
        <f>VLOOKUP(Table25755252691013434446474849565758596315181719224566677172737476777879939495100104109111113115117138139141[[#This Row],[PEG]],Table1016[#All],3,FALSE)</f>
        <v>MENU PROMPT</v>
      </c>
    </row>
    <row r="16" spans="1:5">
      <c r="A16" s="114">
        <v>9</v>
      </c>
      <c r="B16" s="110" t="s">
        <v>114</v>
      </c>
      <c r="C16" s="151" t="s">
        <v>515</v>
      </c>
      <c r="D16" s="112"/>
      <c r="E16" s="122" t="e">
        <f>VLOOKUP(Table25755252691013434446474849565758596315181719224566677172737476777879939495100104109111113115117138139141[[#This Row],[PEG]],Table1016[#All],3,FALSE)</f>
        <v>#N/A</v>
      </c>
    </row>
    <row r="17" spans="1:5">
      <c r="A17" s="114">
        <v>10</v>
      </c>
      <c r="B17" s="110" t="s">
        <v>115</v>
      </c>
      <c r="C17" s="105" t="str">
        <f>VLOOKUP(Table25755252691013434446474849565758596315181719224566677172737476777879939495100104109111113115117138139141[[#This Row],[PEG]],Table1016[#All],2,FALSE)</f>
        <v>0210-1.wav And the date of birth for the primary owner?</v>
      </c>
      <c r="D17" s="154">
        <v>210</v>
      </c>
      <c r="E17" s="122" t="str">
        <f>VLOOKUP(Table25755252691013434446474849565758596315181719224566677172737476777879939495100104109111113115117138139141[[#This Row],[PEG]],Table1016[#All],3,FALSE)</f>
        <v>MENU PROMPT</v>
      </c>
    </row>
    <row r="18" spans="1:5">
      <c r="A18" s="114">
        <v>11</v>
      </c>
      <c r="B18" s="110" t="s">
        <v>124</v>
      </c>
      <c r="C18" s="151" t="s">
        <v>524</v>
      </c>
      <c r="D18" s="113"/>
      <c r="E18" s="122" t="e">
        <f>VLOOKUP(Table25755252691013434446474849565758596315181719224566677172737476777879939495100104109111113115117138139141[[#This Row],[PEG]],Table1016[#All],3,FALSE)</f>
        <v>#N/A</v>
      </c>
    </row>
    <row r="19" spans="1:5" ht="45">
      <c r="A19" s="114">
        <v>12</v>
      </c>
      <c r="B19" s="110" t="s">
        <v>115</v>
      </c>
      <c r="C19" s="105" t="str">
        <f>VLOOKUP(Table25755252691013434446474849565758596315181719224566677172737476777879939495100104109111113115117138139141[[#This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54">
        <v>320</v>
      </c>
      <c r="E19" s="122" t="str">
        <f>VLOOKUP(Table25755252691013434446474849565758596315181719224566677172737476777879939495100104109111113115117138139141[[#This Row],[PEG]],Table1016[#All],3,FALSE)</f>
        <v>MENU PROMPT</v>
      </c>
    </row>
    <row r="20" spans="1:5">
      <c r="A20" s="114">
        <v>13</v>
      </c>
      <c r="B20" s="110" t="s">
        <v>124</v>
      </c>
      <c r="C20" s="151" t="s">
        <v>525</v>
      </c>
      <c r="D20" s="113"/>
      <c r="E20" s="122" t="e">
        <f>VLOOKUP(Table25755252691013434446474849565758596315181719224566677172737476777879939495100104109111113115117138139141[[#This Row],[PEG]],Table1016[#All],3,FALSE)</f>
        <v>#N/A</v>
      </c>
    </row>
    <row r="21" spans="1:5" ht="45">
      <c r="A21" s="114">
        <v>14</v>
      </c>
      <c r="B21" s="110" t="s">
        <v>115</v>
      </c>
      <c r="C21" s="105" t="str">
        <f>VLOOKUP(Table25755252691013434446474849565758596315181719224566677172737476777879939495100104109111113115117138139141[[#This Row],[PEG]],Table1016[#All],2,FALSE)</f>
        <v>Wyndham requires a copy of the court documents such as a marriage certificate or divorce decree to be submitted along with a government issued ID showing your name change. Please send the information to 6277 Sea Harbor Drive, Orlando Florida 32821, attention, Shell Member Transfers or via email to shellmembertransfers@wyn.com.</v>
      </c>
      <c r="D21" s="113" t="s">
        <v>218</v>
      </c>
      <c r="E21" s="122" t="str">
        <f>VLOOKUP(Table25755252691013434446474849565758596315181719224566677172737476777879939495100104109111113115117138139141[[#This Row],[PEG]],Table1016[#All],3,FALSE)</f>
        <v>PLAY PROMPT</v>
      </c>
    </row>
    <row r="22" spans="1:5" ht="30">
      <c r="A22" s="114">
        <v>15</v>
      </c>
      <c r="B22" s="110" t="s">
        <v>115</v>
      </c>
      <c r="C22" s="105" t="str">
        <f>VLOOKUP(Table25755252691013434446474849565758596315181719224566677172737476777879939495100104109111113115117138139141[[#This Row],[PEG]],Table1016[#All],2,FALSE)</f>
        <v>0330-1.wav To hear this information again, say repeat that. If you would like me to send you a letter with instructions to start the process, say information letter.</v>
      </c>
      <c r="D22" s="113">
        <v>330</v>
      </c>
      <c r="E22" s="122" t="str">
        <f>VLOOKUP(Table25755252691013434446474849565758596315181719224566677172737476777879939495100104109111113115117138139141[[#This Row],[PEG]],Table1016[#All],3,FALSE)</f>
        <v>MENU PROMPT</v>
      </c>
    </row>
    <row r="23" spans="1:5">
      <c r="A23" s="114">
        <v>16</v>
      </c>
      <c r="B23" s="110" t="s">
        <v>124</v>
      </c>
      <c r="C23" s="151" t="s">
        <v>526</v>
      </c>
      <c r="D23" s="113"/>
      <c r="E23" s="122" t="e">
        <f>VLOOKUP(Table25755252691013434446474849565758596315181719224566677172737476777879939495100104109111113115117138139141[[#This Row],[PEG]],Table1016[#All],3,FALSE)</f>
        <v>#N/A</v>
      </c>
    </row>
    <row r="24" spans="1:5">
      <c r="A24" s="114">
        <v>17</v>
      </c>
      <c r="B24" s="110" t="s">
        <v>115</v>
      </c>
      <c r="C24" s="105" t="str">
        <f>VLOOKUP(Table25755252691013434446474849565758596315181719224566677172737476777879939495100104109111113115117138139141[[#This Row],[PEG]],Table1016[#All],2,FALSE)</f>
        <v>0900.wav Please hold, while I connect you to a customer service representative.</v>
      </c>
      <c r="D24" s="154">
        <v>900</v>
      </c>
      <c r="E24" s="122" t="str">
        <f>VLOOKUP(Table25755252691013434446474849565758596315181719224566677172737476777879939495100104109111113115117138139141[[#This Row],[PEG]],Table1016[#All],3,FALSE)</f>
        <v>PLAY PROMPT</v>
      </c>
    </row>
    <row r="25" spans="1:5">
      <c r="A25" s="114">
        <v>18</v>
      </c>
      <c r="B25" s="110" t="s">
        <v>12</v>
      </c>
      <c r="C25" s="105" t="str">
        <f>VLOOKUP(Table25755252691013434446474849565758596315181719224566677172737476777879939495100104109111113115117138139141[[#This Row],[PEG]],Table1016[#All],2,FALSE)</f>
        <v>XferNbr.wav Transfer Number &lt;TransferNbr&gt;</v>
      </c>
      <c r="D25" s="113" t="s">
        <v>480</v>
      </c>
      <c r="E25" s="122" t="str">
        <f>VLOOKUP(Table25755252691013434446474849565758596315181719224566677172737476777879939495100104109111113115117138139141[[#This Row],[PEG]],Table1016[#All],3,FALSE)</f>
        <v>TEST</v>
      </c>
    </row>
    <row r="26" spans="1:5">
      <c r="C26" s="25"/>
    </row>
    <row r="27" spans="1:5">
      <c r="C27" s="25"/>
    </row>
    <row r="28" spans="1:5">
      <c r="C28" s="25"/>
    </row>
    <row r="29" spans="1:5">
      <c r="C29" s="25"/>
    </row>
    <row r="30" spans="1:5">
      <c r="C30" s="26"/>
    </row>
    <row r="31" spans="1:5">
      <c r="C31" s="26"/>
    </row>
    <row r="32" spans="1:5">
      <c r="C32" s="26"/>
    </row>
  </sheetData>
  <mergeCells count="1">
    <mergeCell ref="A1:B1"/>
  </mergeCells>
  <conditionalFormatting sqref="C26:C9971">
    <cfRule type="expression" dxfId="4124" priority="62">
      <formula>$B26="Dial"</formula>
    </cfRule>
    <cfRule type="expression" dxfId="4123" priority="63">
      <formula>$B26="HANGUP"</formula>
    </cfRule>
  </conditionalFormatting>
  <conditionalFormatting sqref="B8 B20:B25">
    <cfRule type="containsText" dxfId="4122" priority="4" operator="containsText" text="Hear">
      <formula>NOT(ISERROR(SEARCH("Hear",B8)))</formula>
    </cfRule>
  </conditionalFormatting>
  <conditionalFormatting sqref="B18:B19">
    <cfRule type="containsText" dxfId="4121" priority="2" operator="containsText" text="Hear">
      <formula>NOT(ISERROR(SEARCH("Hear",B18)))</formula>
    </cfRule>
  </conditionalFormatting>
  <conditionalFormatting sqref="B9:B17">
    <cfRule type="containsText" dxfId="4120" priority="1" operator="containsText" text="Hear">
      <formula>NOT(ISERROR(SEARCH("Hear",B9)))</formula>
    </cfRule>
  </conditionalFormatting>
  <hyperlinks>
    <hyperlink ref="A1" location="'Test Case Overview'!A1" display="Return to Test Case Overview" xr:uid="{00000000-0004-0000-4E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4" id="{1571A4EB-3A11-4413-A0C5-D5251399D745}">
            <xm:f>'TC1'!$B8="HANGUP"</xm:f>
            <x14:dxf>
              <font>
                <b/>
                <i val="0"/>
              </font>
            </x14:dxf>
          </x14:cfRule>
          <x14:cfRule type="expression" priority="15" id="{677EBF92-F035-4B31-B2EB-C572ACCE7ABE}">
            <xm:f>'TC1'!$B8="Dial"</xm:f>
            <x14:dxf>
              <font>
                <b/>
                <i val="0"/>
                <color rgb="FFFF0000"/>
              </font>
            </x14:dxf>
          </x14:cfRule>
          <xm:sqref>C8</xm:sqref>
        </x14:conditionalFormatting>
        <x14:conditionalFormatting xmlns:xm="http://schemas.microsoft.com/office/excel/2006/main">
          <x14:cfRule type="expression" priority="16" id="{30FDA4FD-9D61-4FBB-947F-A478F5D90886}">
            <xm:f>'TC1'!$B8="Speak"</xm:f>
            <x14:dxf>
              <font>
                <b/>
                <i val="0"/>
                <color rgb="FFFF0000"/>
              </font>
            </x14:dxf>
          </x14:cfRule>
          <xm:sqref>C8</xm:sqref>
        </x14:conditionalFormatting>
        <x14:conditionalFormatting xmlns:xm="http://schemas.microsoft.com/office/excel/2006/main">
          <x14:cfRule type="containsText" priority="12" operator="containsText" text="DB" id="{6039CDE5-0166-483E-8F90-11FD7F5CCF69}">
            <xm:f>NOT(ISERROR(SEARCH("DB",'TC1'!E10)))</xm:f>
            <x14:dxf>
              <font>
                <color rgb="FF006100"/>
              </font>
              <fill>
                <patternFill>
                  <bgColor rgb="FFC6EFCE"/>
                </patternFill>
              </fill>
            </x14:dxf>
          </x14:cfRule>
          <x14:cfRule type="containsText" priority="17" operator="containsText" text="WEB SERVICE" id="{0C6C3E37-ED35-4CC9-82BC-4E60DC601F6B}">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831" id="{1571A4EB-3A11-4413-A0C5-D5251399D745}">
            <xm:f>'TC1'!#REF!="HANGUP"</xm:f>
            <x14:dxf>
              <font>
                <b/>
                <i val="0"/>
              </font>
            </x14:dxf>
          </x14:cfRule>
          <x14:cfRule type="expression" priority="1832" id="{677EBF92-F035-4B31-B2EB-C572ACCE7ABE}">
            <xm:f>'TC1'!#REF!="Dial"</xm:f>
            <x14:dxf>
              <font>
                <b/>
                <i val="0"/>
                <color rgb="FFFF0000"/>
              </font>
            </x14:dxf>
          </x14:cfRule>
          <xm:sqref>C13:C25</xm:sqref>
        </x14:conditionalFormatting>
        <x14:conditionalFormatting xmlns:xm="http://schemas.microsoft.com/office/excel/2006/main">
          <x14:cfRule type="expression" priority="1837" id="{30FDA4FD-9D61-4FBB-947F-A478F5D90886}">
            <xm:f>'TC1'!#REF!="Speak"</xm:f>
            <x14:dxf>
              <font>
                <b/>
                <i val="0"/>
                <color rgb="FFFF0000"/>
              </font>
            </x14:dxf>
          </x14:cfRule>
          <xm:sqref>C13:C25</xm:sqref>
        </x14:conditionalFormatting>
        <x14:conditionalFormatting xmlns:xm="http://schemas.microsoft.com/office/excel/2006/main">
          <x14:cfRule type="containsText" priority="1843" operator="containsText" text="DB" id="{6039CDE5-0166-483E-8F90-11FD7F5CCF69}">
            <xm:f>NOT(ISERROR(SEARCH("DB",'TC1'!#REF!)))</xm:f>
            <x14:dxf>
              <font>
                <color rgb="FF006100"/>
              </font>
              <fill>
                <patternFill>
                  <bgColor rgb="FFC6EFCE"/>
                </patternFill>
              </fill>
            </x14:dxf>
          </x14:cfRule>
          <x14:cfRule type="containsText" priority="1844" operator="containsText" text="WEB SERVICE" id="{0C6C3E37-ED35-4CC9-82BC-4E60DC601F6B}">
            <xm:f>NOT(ISERROR(SEARCH("WEB SERVICE",'TC1'!#REF!)))</xm:f>
            <x14:dxf>
              <font>
                <color rgb="FF9C0006"/>
              </font>
              <fill>
                <patternFill>
                  <bgColor rgb="FFFFC7CE"/>
                </patternFill>
              </fill>
            </x14:dxf>
          </x14:cfRule>
          <xm:sqref>E13:E25</xm:sqref>
        </x14:conditionalFormatting>
        <x14:conditionalFormatting xmlns:xm="http://schemas.microsoft.com/office/excel/2006/main">
          <x14:cfRule type="expression" priority="3985" id="{1571A4EB-3A11-4413-A0C5-D5251399D745}">
            <xm:f>'TC1'!$B10="HANGUP"</xm:f>
            <x14:dxf>
              <font>
                <b/>
                <i val="0"/>
              </font>
            </x14:dxf>
          </x14:cfRule>
          <x14:cfRule type="expression" priority="3986" id="{677EBF92-F035-4B31-B2EB-C572ACCE7ABE}">
            <xm:f>'TC1'!$B10="Dial"</xm:f>
            <x14:dxf>
              <font>
                <b/>
                <i val="0"/>
                <color rgb="FFFF0000"/>
              </font>
            </x14:dxf>
          </x14:cfRule>
          <xm:sqref>C9:C12</xm:sqref>
        </x14:conditionalFormatting>
        <x14:conditionalFormatting xmlns:xm="http://schemas.microsoft.com/office/excel/2006/main">
          <x14:cfRule type="expression" priority="3988" id="{30FDA4FD-9D61-4FBB-947F-A478F5D90886}">
            <xm:f>'TC1'!$B10="Speak"</xm:f>
            <x14:dxf>
              <font>
                <b/>
                <i val="0"/>
                <color rgb="FFFF0000"/>
              </font>
            </x14:dxf>
          </x14:cfRule>
          <xm:sqref>C9:C12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E35"/>
  <sheetViews>
    <sheetView zoomScaleNormal="100" workbookViewId="0">
      <selection activeCell="C14" sqref="C14"/>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8" t="s">
        <v>4</v>
      </c>
      <c r="B1" s="199"/>
      <c r="C1" s="101"/>
    </row>
    <row r="2" spans="1:5">
      <c r="A2" s="102" t="s">
        <v>5</v>
      </c>
      <c r="B2" s="103" t="str">
        <f ca="1">MID(CELL("filename",A1),FIND("]",CELL("filename",A1))+1,LEN(CELL("filename",A1))-FIND("]",CELL("filename",A1)))</f>
        <v>TC7</v>
      </c>
    </row>
    <row r="3" spans="1:5">
      <c r="A3" s="100" t="s">
        <v>19</v>
      </c>
      <c r="B3" s="108">
        <f ca="1">VLOOKUP(B2,Table1[#All],2,FALSE)</f>
        <v>0</v>
      </c>
    </row>
    <row r="4" spans="1:5" ht="30">
      <c r="A4" s="109" t="s">
        <v>20</v>
      </c>
      <c r="B4" s="95">
        <f ca="1">VLOOKUP(B2,Table1[#All],4,FALSE)</f>
        <v>0</v>
      </c>
    </row>
    <row r="5" spans="1:5">
      <c r="A5" s="100" t="s">
        <v>6</v>
      </c>
      <c r="B5" s="89" t="str">
        <f ca="1">VLOOKUP(B2,Table1[#All],3,FALSE)</f>
        <v>CallStart Main Menu /Title /Rep to Xfer</v>
      </c>
    </row>
    <row r="7" spans="1:5" ht="15.75">
      <c r="A7" s="96" t="s">
        <v>7</v>
      </c>
      <c r="B7" s="97" t="s">
        <v>8</v>
      </c>
      <c r="C7" s="98" t="s">
        <v>9</v>
      </c>
      <c r="D7" s="98" t="s">
        <v>14</v>
      </c>
      <c r="E7" s="99" t="s">
        <v>10</v>
      </c>
    </row>
    <row r="8" spans="1:5">
      <c r="A8" s="114">
        <v>1</v>
      </c>
      <c r="B8" s="110" t="s">
        <v>114</v>
      </c>
      <c r="C8" s="124" t="s">
        <v>125</v>
      </c>
      <c r="D8" s="125"/>
      <c r="E8" s="122" t="s">
        <v>11</v>
      </c>
    </row>
    <row r="9" spans="1:5" s="93" customFormat="1">
      <c r="A9" s="114">
        <v>2</v>
      </c>
      <c r="B9" s="110" t="s">
        <v>115</v>
      </c>
      <c r="C9" s="148" t="str">
        <f>VLOOKUP(Table25755252670[[#This Row],[PEG]],Table1016[],2,FALSE)</f>
        <v>CallID.wav Call ID &lt;CallID&gt;</v>
      </c>
      <c r="D9" s="145" t="s">
        <v>477</v>
      </c>
      <c r="E9" s="122"/>
    </row>
    <row r="10" spans="1:5" ht="30">
      <c r="A10" s="114">
        <v>3</v>
      </c>
      <c r="B10" s="110" t="s">
        <v>115</v>
      </c>
      <c r="C10" s="105" t="str">
        <f>VLOOKUP(Table257552526911122021[[#This Row],[PEG]],Table1016[#All],2,FALSE)</f>
        <v>0100.wav Thank you for calling Shell vacations Club, we are glad you called. Please have your account number available for faster service. [To continue in Spanish, press 9]</v>
      </c>
      <c r="D10" s="145">
        <v>100</v>
      </c>
      <c r="E10" s="122" t="str">
        <f>VLOOKUP(Table257552526911122021[[#This Row],[PEG]],Table1016[#All],3,FALSE)</f>
        <v>PLAY PROMPT</v>
      </c>
    </row>
    <row r="11" spans="1:5" ht="30">
      <c r="A11" s="114">
        <v>4</v>
      </c>
      <c r="B11" s="110" t="s">
        <v>115</v>
      </c>
      <c r="C11" s="105" t="str">
        <f>VLOOKUP(Table257552526911122021[[#This Row],[PEG]],Table1016[#All],2,FALSE)</f>
        <v>0110-1.wav Which would you like? You can say... reservations, payments &amp; statements, title &amp; ownership changes, or more options.</v>
      </c>
      <c r="D11" s="145">
        <v>110</v>
      </c>
      <c r="E11" s="122" t="str">
        <f>VLOOKUP(Table257552526911122021[[#This Row],[PEG]],Table1016[#All],3,FALSE)</f>
        <v>MENU PROMPT</v>
      </c>
    </row>
    <row r="12" spans="1:5">
      <c r="A12" s="114">
        <v>5</v>
      </c>
      <c r="B12" s="110" t="s">
        <v>124</v>
      </c>
      <c r="C12" s="105" t="s">
        <v>474</v>
      </c>
      <c r="D12" s="125"/>
      <c r="E12" s="122" t="e">
        <f>VLOOKUP(Table257552526911122021[[#This Row],[PEG]],Table1016[#All],3,FALSE)</f>
        <v>#N/A</v>
      </c>
    </row>
    <row r="13" spans="1:5" ht="30">
      <c r="A13" s="114">
        <v>6</v>
      </c>
      <c r="B13" s="110" t="s">
        <v>115</v>
      </c>
      <c r="C13" s="105" t="str">
        <f>VLOOKUP(Table257552526911122021[[#This Row],[PEG]],Table1016[#All],2,FALSE)</f>
        <v>0300-1.wav You can say ownership changes, check status, make a payment, or help me with something else. Which would you like?</v>
      </c>
      <c r="D13" s="145">
        <v>300</v>
      </c>
      <c r="E13" s="122" t="str">
        <f>VLOOKUP(Table257552526911122021[[#This Row],[PEG]],Table1016[#All],3,FALSE)</f>
        <v>MENU PROMPT</v>
      </c>
    </row>
    <row r="14" spans="1:5">
      <c r="A14" s="114">
        <v>7</v>
      </c>
      <c r="B14" s="110" t="s">
        <v>124</v>
      </c>
      <c r="C14" s="105" t="s">
        <v>501</v>
      </c>
      <c r="D14" s="125"/>
      <c r="E14" s="122" t="e">
        <f>VLOOKUP(Table257552526911122021[[#This Row],[PEG]],Table1016[#All],3,FALSE)</f>
        <v>#N/A</v>
      </c>
    </row>
    <row r="15" spans="1:5">
      <c r="A15" s="114">
        <v>8</v>
      </c>
      <c r="B15" s="110" t="s">
        <v>115</v>
      </c>
      <c r="C15" s="105" t="str">
        <f>VLOOKUP(Table257552526911122021[[#This Row],[PEG]],Table1016[#All],2,FALSE)</f>
        <v>0900.wav Please hold, while I connect you to a customer service representative.</v>
      </c>
      <c r="D15" s="145">
        <v>900</v>
      </c>
      <c r="E15" s="122" t="str">
        <f>VLOOKUP(Table257552526911122021[[#This Row],[PEG]],Table1016[#All],3,FALSE)</f>
        <v>PLAY PROMPT</v>
      </c>
    </row>
    <row r="16" spans="1:5">
      <c r="A16" s="114">
        <v>9</v>
      </c>
      <c r="B16" s="110" t="s">
        <v>115</v>
      </c>
      <c r="C16" s="105" t="str">
        <f>VLOOKUP(Table257552526911122021[[#This Row],[PEG]],Table1016[#All],2,FALSE)</f>
        <v>XferNbr.wav Transfer Number &lt;TransferNbr&gt;</v>
      </c>
      <c r="D16" s="113" t="s">
        <v>480</v>
      </c>
      <c r="E16" s="122" t="str">
        <f>VLOOKUP(Table257552526911122021[[#This Row],[PEG]],Table1016[#All],3,FALSE)</f>
        <v>TEST</v>
      </c>
    </row>
    <row r="17" spans="1:5">
      <c r="A17" s="114">
        <v>10</v>
      </c>
      <c r="B17" s="110" t="s">
        <v>13</v>
      </c>
      <c r="C17" s="105" t="s">
        <v>13</v>
      </c>
      <c r="D17" s="111"/>
      <c r="E17" s="31"/>
    </row>
    <row r="18" spans="1:5">
      <c r="C18" s="25"/>
      <c r="D18" s="107" t="s">
        <v>0</v>
      </c>
    </row>
    <row r="19" spans="1:5">
      <c r="C19" s="25"/>
    </row>
    <row r="20" spans="1:5">
      <c r="C20" s="25"/>
    </row>
    <row r="21" spans="1:5">
      <c r="C21" s="25"/>
    </row>
    <row r="22" spans="1:5">
      <c r="C22" s="25"/>
    </row>
    <row r="23" spans="1:5">
      <c r="C23" s="25"/>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6"/>
    </row>
    <row r="34" spans="3:3">
      <c r="C34" s="26"/>
    </row>
    <row r="35" spans="3:3">
      <c r="C35" s="26"/>
    </row>
  </sheetData>
  <mergeCells count="1">
    <mergeCell ref="A1:B1"/>
  </mergeCells>
  <conditionalFormatting sqref="E17">
    <cfRule type="containsText" dxfId="6535" priority="31" operator="containsText" text="WEB SERVICE">
      <formula>NOT(ISERROR(SEARCH("WEB SERVICE",E17)))</formula>
    </cfRule>
    <cfRule type="containsText" dxfId="6534" priority="32" operator="containsText" text="DB">
      <formula>NOT(ISERROR(SEARCH("DB",E17)))</formula>
    </cfRule>
  </conditionalFormatting>
  <conditionalFormatting sqref="C10:C15 C17:C9974">
    <cfRule type="expression" dxfId="6533" priority="34">
      <formula>$B10="Dial"</formula>
    </cfRule>
    <cfRule type="expression" dxfId="6532" priority="36">
      <formula>$B10="HANGUP"</formula>
    </cfRule>
  </conditionalFormatting>
  <conditionalFormatting sqref="C8">
    <cfRule type="expression" dxfId="6531" priority="3">
      <formula>$B8="Dial"</formula>
    </cfRule>
    <cfRule type="expression" dxfId="6530" priority="4">
      <formula>$B8="HANGUP"</formula>
    </cfRule>
  </conditionalFormatting>
  <conditionalFormatting sqref="B8:B17">
    <cfRule type="containsText" dxfId="6529" priority="7" operator="containsText" text="Hear">
      <formula>NOT(ISERROR(SEARCH("Hear",B8)))</formula>
    </cfRule>
  </conditionalFormatting>
  <conditionalFormatting sqref="C16">
    <cfRule type="expression" dxfId="6528" priority="8">
      <formula>$B16="Dial"</formula>
    </cfRule>
    <cfRule type="expression" dxfId="6527" priority="10">
      <formula>$B16="HANGUP"</formula>
    </cfRule>
  </conditionalFormatting>
  <conditionalFormatting sqref="C10:C17">
    <cfRule type="expression" dxfId="6526" priority="9">
      <formula>$B10="Speak"</formula>
    </cfRule>
  </conditionalFormatting>
  <conditionalFormatting sqref="C9">
    <cfRule type="expression" dxfId="6525" priority="1">
      <formula>$B9="Dial"</formula>
    </cfRule>
    <cfRule type="expression" dxfId="6524" priority="2">
      <formula>$B9="HANGUP"</formula>
    </cfRule>
  </conditionalFormatting>
  <hyperlinks>
    <hyperlink ref="A1" location="'Test Case Overview'!A1" display="Return to Test Case Overview" xr:uid="{00000000-0004-0000-07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25" operator="containsText" text="WEB SERVICE" id="{2C760CFD-6CE4-4476-96EA-75518491746B}">
            <xm:f>NOT(ISERROR(SEARCH("WEB SERVICE",'TC1'!E10)))</xm:f>
            <x14:dxf>
              <font>
                <color rgb="FF9C0006"/>
              </font>
              <fill>
                <patternFill>
                  <bgColor rgb="FFFFC7CE"/>
                </patternFill>
              </fill>
            </x14:dxf>
          </x14:cfRule>
          <x14:cfRule type="containsText" priority="26" operator="containsText" text="DB" id="{05F4FF0C-77FC-45AC-A5DA-4C3E50FFB614}">
            <xm:f>NOT(ISERROR(SEARCH("DB",'TC1'!E10)))</xm:f>
            <x14:dxf>
              <font>
                <color rgb="FF006100"/>
              </font>
              <fill>
                <patternFill>
                  <bgColor rgb="FFC6EFCE"/>
                </patternFill>
              </fill>
            </x14:dxf>
          </x14:cfRule>
          <xm:sqref>E10:E13</xm:sqref>
        </x14:conditionalFormatting>
        <x14:conditionalFormatting xmlns:xm="http://schemas.microsoft.com/office/excel/2006/main">
          <x14:cfRule type="containsText" priority="713" operator="containsText" text="WEB SERVICE" id="{2C760CFD-6CE4-4476-96EA-75518491746B}">
            <xm:f>NOT(ISERROR(SEARCH("WEB SERVICE",'TC1'!#REF!)))</xm:f>
            <x14:dxf>
              <font>
                <color rgb="FF9C0006"/>
              </font>
              <fill>
                <patternFill>
                  <bgColor rgb="FFFFC7CE"/>
                </patternFill>
              </fill>
            </x14:dxf>
          </x14:cfRule>
          <x14:cfRule type="containsText" priority="714" operator="containsText" text="DB" id="{05F4FF0C-77FC-45AC-A5DA-4C3E50FFB614}">
            <xm:f>NOT(ISERROR(SEARCH("DB",'TC1'!#REF!)))</xm:f>
            <x14:dxf>
              <font>
                <color rgb="FF006100"/>
              </font>
              <fill>
                <patternFill>
                  <bgColor rgb="FFC6EFCE"/>
                </patternFill>
              </fill>
            </x14:dxf>
          </x14:cfRule>
          <xm:sqref>E14:E16</xm:sqref>
        </x14:conditionalFormatting>
      </x14:conditionalFormattings>
    </ext>
  </extLst>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1"/>
  <dimension ref="A1:E41"/>
  <sheetViews>
    <sheetView zoomScaleNormal="100" workbookViewId="0">
      <selection activeCell="C4" sqref="C4"/>
    </sheetView>
  </sheetViews>
  <sheetFormatPr defaultRowHeight="15"/>
  <cols>
    <col min="1" max="1" width="14.42578125" style="41" bestFit="1" customWidth="1"/>
    <col min="2" max="2" width="42.7109375" style="41" customWidth="1"/>
    <col min="3" max="3" width="106.28515625" style="21" customWidth="1"/>
    <col min="4" max="4" width="21.7109375" style="32" bestFit="1" customWidth="1"/>
    <col min="5" max="5" width="20.7109375" style="41" customWidth="1"/>
  </cols>
  <sheetData>
    <row r="1" spans="1:5" ht="18.75">
      <c r="A1" s="197" t="s">
        <v>4</v>
      </c>
      <c r="B1" s="197"/>
      <c r="C1" s="18"/>
    </row>
    <row r="2" spans="1:5">
      <c r="A2" s="19" t="s">
        <v>5</v>
      </c>
      <c r="B2" s="20" t="str">
        <f ca="1">MID(CELL("filename",A1),FIND("]",CELL("filename",A1))+1,LEN(CELL("filename",A1))-FIND("]",CELL("filename",A1)))</f>
        <v>TC79</v>
      </c>
    </row>
    <row r="3" spans="1:5">
      <c r="A3" s="22" t="s">
        <v>19</v>
      </c>
      <c r="B3" s="23">
        <f ca="1">VLOOKUP(B2,Table53[#All],2,FALSE)</f>
        <v>0</v>
      </c>
    </row>
    <row r="4" spans="1:5" ht="45">
      <c r="A4" s="38" t="s">
        <v>20</v>
      </c>
      <c r="B4" s="37" t="str">
        <f ca="1">VLOOKUP(B2,Table53[#All],4,FALSE)</f>
        <v>svcArea=titleSvcs, serviceType=chgOwner, Not in progress or complete &lt;90days. 325-S-DD-R</v>
      </c>
      <c r="C4" s="21" t="s">
        <v>222</v>
      </c>
    </row>
    <row r="5" spans="1:5" ht="60">
      <c r="A5" s="22" t="s">
        <v>6</v>
      </c>
      <c r="B5" s="75" t="str">
        <f ca="1">VLOOKUP(B2,Table53[#All],3,FALSE)</f>
        <v>CallStart Main Menu /Title /Ownership changes/ID Auth=True/ remove owner at ChangeMenu/HU after hearing peg 0330 hear again</v>
      </c>
    </row>
    <row r="7" spans="1:5" ht="15.75">
      <c r="A7" s="96" t="s">
        <v>7</v>
      </c>
      <c r="B7" s="97" t="s">
        <v>8</v>
      </c>
      <c r="C7" s="98" t="s">
        <v>9</v>
      </c>
      <c r="D7" s="98" t="s">
        <v>14</v>
      </c>
      <c r="E7" s="99" t="s">
        <v>10</v>
      </c>
    </row>
    <row r="8" spans="1:5" s="93" customFormat="1">
      <c r="A8" s="114">
        <v>1</v>
      </c>
      <c r="B8" s="110" t="s">
        <v>114</v>
      </c>
      <c r="C8" s="105" t="s">
        <v>125</v>
      </c>
      <c r="D8" s="125"/>
      <c r="E8" s="122" t="s">
        <v>11</v>
      </c>
    </row>
    <row r="9" spans="1:5" s="93" customFormat="1">
      <c r="A9" s="114">
        <v>2</v>
      </c>
      <c r="B9" s="110" t="s">
        <v>115</v>
      </c>
      <c r="C9" s="105" t="str">
        <f>VLOOKUP(Table257552526910134344464748495657585963151817192245666771727374767778799394951001041091111131151171381391415[[#This Row],[PEG]],Table1016[#All],2,FALSE)</f>
        <v>CallID.wav Call ID &lt;CallID&gt;</v>
      </c>
      <c r="D9" s="152" t="s">
        <v>477</v>
      </c>
      <c r="E9" s="122" t="str">
        <f>VLOOKUP(Table257552526910134344464748495657585963151817192245666771727374767778799394951001041091111131151171381391415[[#This Row],[PEG]],Table1016[#All],3,FALSE)</f>
        <v>TEST</v>
      </c>
    </row>
    <row r="10" spans="1:5" s="93" customFormat="1" ht="30">
      <c r="A10" s="114">
        <v>3</v>
      </c>
      <c r="B10" s="110" t="s">
        <v>115</v>
      </c>
      <c r="C10" s="105" t="str">
        <f>VLOOKUP(Table257552526910134344464748495657585963151817192245666771727374767778799394951001041091111131151171381391415[[#This Row],[PEG]],Table1016[#All],2,FALSE)</f>
        <v>0100.wav Thank you for calling Shell vacations Club, we are glad you called. Please have your account number available for faster service. [To continue in Spanish, press 9]</v>
      </c>
      <c r="D10" s="152">
        <v>100</v>
      </c>
      <c r="E10" s="122" t="str">
        <f>VLOOKUP(Table257552526910134344464748495657585963151817192245666771727374767778799394951001041091111131151171381391415[[#This Row],[PEG]],Table1016[#All],3,FALSE)</f>
        <v>PLAY PROMPT</v>
      </c>
    </row>
    <row r="11" spans="1:5" s="93" customFormat="1" ht="30">
      <c r="A11" s="114">
        <v>4</v>
      </c>
      <c r="B11" s="110" t="s">
        <v>115</v>
      </c>
      <c r="C11" s="105" t="str">
        <f>VLOOKUP(Table257552526910134344464748495657585963151817192245666771727374767778799394951001041091111131151171381391415[[#This Row],[PEG]],Table1016[#All],2,FALSE)</f>
        <v>0110-1.wav Which would you like? You can say... reservations, payments &amp; statements, title &amp; ownership changes, or more options.</v>
      </c>
      <c r="D11" s="152">
        <v>110</v>
      </c>
      <c r="E11" s="122" t="str">
        <f>VLOOKUP(Table257552526910134344464748495657585963151817192245666771727374767778799394951001041091111131151171381391415[[#This Row],[PEG]],Table1016[#All],3,FALSE)</f>
        <v>MENU PROMPT</v>
      </c>
    </row>
    <row r="12" spans="1:5" s="93" customFormat="1">
      <c r="A12" s="114">
        <v>5</v>
      </c>
      <c r="B12" s="110" t="s">
        <v>124</v>
      </c>
      <c r="C12" s="158" t="s">
        <v>486</v>
      </c>
      <c r="D12" s="152"/>
      <c r="E12" s="122" t="e">
        <f>VLOOKUP(Table257552526910134344464748495657585963151817192245666771727374767778799394951001041091111131151171381391415[[#This Row],[PEG]],Table1016[#All],3,FALSE)</f>
        <v>#N/A</v>
      </c>
    </row>
    <row r="13" spans="1:5" s="93" customFormat="1" ht="30">
      <c r="A13" s="114">
        <v>6</v>
      </c>
      <c r="B13" s="110" t="s">
        <v>115</v>
      </c>
      <c r="C13" s="105" t="str">
        <f>VLOOKUP(Table257552526910134344464748495657585963151817192245666771727374767778799394951001041091111131151171381391415[[#This Row],[PEG]],Table1016[#All],2,FALSE)</f>
        <v>0300-1.wav You can say ownership changes, check status, make a payment, or help me with something else. Which would you like?</v>
      </c>
      <c r="D13" s="152">
        <v>300</v>
      </c>
      <c r="E13" s="122" t="str">
        <f>VLOOKUP(Table257552526910134344464748495657585963151817192245666771727374767778799394951001041091111131151171381391415[[#This Row],[PEG]],Table1016[#All],3,FALSE)</f>
        <v>MENU PROMPT</v>
      </c>
    </row>
    <row r="14" spans="1:5" s="93" customFormat="1">
      <c r="A14" s="114">
        <v>7</v>
      </c>
      <c r="B14" s="110" t="s">
        <v>124</v>
      </c>
      <c r="C14" s="151" t="s">
        <v>506</v>
      </c>
      <c r="D14" s="125"/>
      <c r="E14" s="122" t="e">
        <f>VLOOKUP(Table257552526910134344464748495657585963151817192245666771727374767778799394951001041091111131151171381391415[[#This Row],[PEG]],Table1016[#All],3,FALSE)</f>
        <v>#N/A</v>
      </c>
    </row>
    <row r="15" spans="1:5">
      <c r="A15" s="114">
        <v>8</v>
      </c>
      <c r="B15" s="110" t="s">
        <v>115</v>
      </c>
      <c r="C15" s="105" t="str">
        <f>VLOOKUP(Table257552526910134344464748495657585963151817192245666771727374767778799394951001041091111131151171381391415[[#This Row],[PEG]],Table1016[#All],2,FALSE)</f>
        <v>0200-1.wav To get started, what is your account number?</v>
      </c>
      <c r="D15" s="153">
        <v>200</v>
      </c>
      <c r="E15" s="122" t="str">
        <f>VLOOKUP(Table257552526910134344464748495657585963151817192245666771727374767778799394951001041091111131151171381391415[[#This Row],[PEG]],Table1016[#All],3,FALSE)</f>
        <v>MENU PROMPT</v>
      </c>
    </row>
    <row r="16" spans="1:5">
      <c r="A16" s="114">
        <v>9</v>
      </c>
      <c r="B16" s="110" t="s">
        <v>114</v>
      </c>
      <c r="C16" s="151" t="s">
        <v>515</v>
      </c>
      <c r="D16" s="112"/>
      <c r="E16" s="122" t="e">
        <f>VLOOKUP(Table257552526910134344464748495657585963151817192245666771727374767778799394951001041091111131151171381391415[[#This Row],[PEG]],Table1016[#All],3,FALSE)</f>
        <v>#N/A</v>
      </c>
    </row>
    <row r="17" spans="1:5">
      <c r="A17" s="114">
        <v>10</v>
      </c>
      <c r="B17" s="110" t="s">
        <v>115</v>
      </c>
      <c r="C17" s="105" t="str">
        <f>VLOOKUP(Table257552526910134344464748495657585963151817192245666771727374767778799394951001041091111131151171381391415[[#This Row],[PEG]],Table1016[#All],2,FALSE)</f>
        <v>0210-1.wav And the date of birth for the primary owner?</v>
      </c>
      <c r="D17" s="154">
        <v>210</v>
      </c>
      <c r="E17" s="122" t="str">
        <f>VLOOKUP(Table257552526910134344464748495657585963151817192245666771727374767778799394951001041091111131151171381391415[[#This Row],[PEG]],Table1016[#All],3,FALSE)</f>
        <v>MENU PROMPT</v>
      </c>
    </row>
    <row r="18" spans="1:5">
      <c r="A18" s="114">
        <v>11</v>
      </c>
      <c r="B18" s="110" t="s">
        <v>124</v>
      </c>
      <c r="C18" s="151" t="s">
        <v>524</v>
      </c>
      <c r="D18" s="113"/>
      <c r="E18" s="122" t="e">
        <f>VLOOKUP(Table257552526910134344464748495657585963151817192245666771727374767778799394951001041091111131151171381391415[[#This Row],[PEG]],Table1016[#All],3,FALSE)</f>
        <v>#N/A</v>
      </c>
    </row>
    <row r="19" spans="1:5" ht="45">
      <c r="A19" s="114">
        <v>12</v>
      </c>
      <c r="B19" s="110" t="s">
        <v>115</v>
      </c>
      <c r="C19" s="105" t="str">
        <f>VLOOKUP(Table257552526910134344464748495657585963151817192245666771727374767778799394951001041091111131151171381391415[[#This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54">
        <v>320</v>
      </c>
      <c r="E19" s="122" t="str">
        <f>VLOOKUP(Table257552526910134344464748495657585963151817192245666771727374767778799394951001041091111131151171381391415[[#This Row],[PEG]],Table1016[#All],3,FALSE)</f>
        <v>MENU PROMPT</v>
      </c>
    </row>
    <row r="20" spans="1:5">
      <c r="A20" s="114">
        <v>13</v>
      </c>
      <c r="B20" s="110" t="s">
        <v>124</v>
      </c>
      <c r="C20" s="151" t="s">
        <v>554</v>
      </c>
      <c r="D20" s="113"/>
      <c r="E20" s="122" t="e">
        <f>VLOOKUP(Table257552526910134344464748495657585963151817192245666771727374767778799394951001041091111131151171381391415[[#This Row],[PEG]],Table1016[#All],3,FALSE)</f>
        <v>#N/A</v>
      </c>
    </row>
    <row r="21" spans="1:5" ht="45">
      <c r="A21" s="114">
        <v>14</v>
      </c>
      <c r="B21" s="110" t="s">
        <v>115</v>
      </c>
      <c r="C21" s="105" t="str">
        <f>VLOOKUP(Table257552526910134344464748495657585963151817192245666771727374767778799394951001041091111131151171381391415[[#This Row],[PEG]],Table1016[#All],2,FALSE)</f>
        <v>Wyndham requires $100 processing fee per account to update ownership and a new recorded deed from the county where you own the property. We recommend that you use a licensed professional to execute the document. Please send the information to 6277 Sea Harbor Drive, Orlando Florida 32821, attention, Shell Member Transfers.</v>
      </c>
      <c r="D21" s="113" t="s">
        <v>222</v>
      </c>
      <c r="E21" s="122" t="str">
        <f>VLOOKUP(Table257552526910134344464748495657585963151817192245666771727374767778799394951001041091111131151171381391415[[#This Row],[PEG]],Table1016[#All],3,FALSE)</f>
        <v>PLAY PROMPT</v>
      </c>
    </row>
    <row r="22" spans="1:5" ht="30">
      <c r="A22" s="114">
        <v>15</v>
      </c>
      <c r="B22" s="110" t="s">
        <v>115</v>
      </c>
      <c r="C22" s="105" t="str">
        <f>VLOOKUP(Table257552526910134344464748495657585963151817192245666771727374767778799394951001041091111131151171381391415[[#This Row],[PEG]],Table1016[#All],2,FALSE)</f>
        <v>0330-1.wav To hear this information again, say repeat that. If you would like me to send you a letter with instructions to start the process, say information letter.</v>
      </c>
      <c r="D22" s="113">
        <v>330</v>
      </c>
      <c r="E22" s="122" t="str">
        <f>VLOOKUP(Table257552526910134344464748495657585963151817192245666771727374767778799394951001041091111131151171381391415[[#This Row],[PEG]],Table1016[#All],3,FALSE)</f>
        <v>MENU PROMPT</v>
      </c>
    </row>
    <row r="23" spans="1:5">
      <c r="A23" s="114">
        <v>16</v>
      </c>
      <c r="B23" s="110" t="s">
        <v>124</v>
      </c>
      <c r="C23" s="151" t="s">
        <v>520</v>
      </c>
      <c r="D23" s="113"/>
      <c r="E23" s="122" t="e">
        <f>VLOOKUP(Table257552526910134344464748495657585963151817192245666771727374767778799394951001041091111131151171381391415[[#This Row],[PEG]],Table1016[#All],3,FALSE)</f>
        <v>#N/A</v>
      </c>
    </row>
    <row r="24" spans="1:5" ht="45">
      <c r="A24" s="114">
        <v>17</v>
      </c>
      <c r="B24" s="110" t="s">
        <v>115</v>
      </c>
      <c r="C24" s="105" t="str">
        <f>VLOOKUP(Table257552526910134344464748495657585963151817192245666771727374767778799394951001041091111131151171381391415[[#This Row],[PEG]],Table1016[#All],2,FALSE)</f>
        <v>Wyndham requires $100 processing fee per account to update ownership and a new recorded deed from the county where you own the property. We recommend that you use a licensed professional to execute the document. Please send the information to 6277 Sea Harbor Drive, Orlando Florida 32821, attention, Shell Member Transfers.</v>
      </c>
      <c r="D24" s="113" t="s">
        <v>222</v>
      </c>
      <c r="E24" s="122" t="str">
        <f>VLOOKUP(Table257552526910134344464748495657585963151817192245666771727374767778799394951001041091111131151171381391415[[#This Row],[PEG]],Table1016[#All],3,FALSE)</f>
        <v>PLAY PROMPT</v>
      </c>
    </row>
    <row r="25" spans="1:5">
      <c r="A25" s="114">
        <v>18</v>
      </c>
      <c r="B25" s="110" t="s">
        <v>13</v>
      </c>
      <c r="C25" s="17" t="s">
        <v>13</v>
      </c>
      <c r="D25" s="111"/>
      <c r="E25" s="31"/>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5"/>
    </row>
    <row r="39" spans="3:3">
      <c r="C39" s="26"/>
    </row>
    <row r="40" spans="3:3">
      <c r="C40" s="26"/>
    </row>
    <row r="41" spans="3:3">
      <c r="C41" s="26"/>
    </row>
  </sheetData>
  <mergeCells count="1">
    <mergeCell ref="A1:B1"/>
  </mergeCells>
  <conditionalFormatting sqref="C26:C9980">
    <cfRule type="expression" dxfId="4097" priority="56">
      <formula>$B26="Dial"</formula>
    </cfRule>
    <cfRule type="expression" dxfId="4096" priority="59">
      <formula>$B26="HANGUP"</formula>
    </cfRule>
  </conditionalFormatting>
  <conditionalFormatting sqref="E25">
    <cfRule type="containsText" dxfId="4095" priority="20" operator="containsText" text="WEB SERVICE">
      <formula>NOT(ISERROR(SEARCH("WEB SERVICE",E25)))</formula>
    </cfRule>
    <cfRule type="containsText" dxfId="4094" priority="21" operator="containsText" text="DB">
      <formula>NOT(ISERROR(SEARCH("DB",E25)))</formula>
    </cfRule>
  </conditionalFormatting>
  <conditionalFormatting sqref="B8">
    <cfRule type="containsText" dxfId="4093" priority="16" operator="containsText" text="Hear">
      <formula>NOT(ISERROR(SEARCH("Hear",B8)))</formula>
    </cfRule>
  </conditionalFormatting>
  <conditionalFormatting sqref="B25">
    <cfRule type="containsText" dxfId="4092" priority="22" operator="containsText" text="Hear">
      <formula>NOT(ISERROR(SEARCH("Hear",B25)))</formula>
    </cfRule>
  </conditionalFormatting>
  <conditionalFormatting sqref="C25">
    <cfRule type="expression" dxfId="4091" priority="25">
      <formula>$B25="HANGUP"</formula>
    </cfRule>
  </conditionalFormatting>
  <conditionalFormatting sqref="B20:B24">
    <cfRule type="containsText" dxfId="4090" priority="15" operator="containsText" text="Hear">
      <formula>NOT(ISERROR(SEARCH("Hear",B20)))</formula>
    </cfRule>
  </conditionalFormatting>
  <conditionalFormatting sqref="B18:B19">
    <cfRule type="containsText" dxfId="4089" priority="14" operator="containsText" text="Hear">
      <formula>NOT(ISERROR(SEARCH("Hear",B18)))</formula>
    </cfRule>
  </conditionalFormatting>
  <conditionalFormatting sqref="B9:B17">
    <cfRule type="containsText" dxfId="4088" priority="13" operator="containsText" text="Hear">
      <formula>NOT(ISERROR(SEARCH("Hear",B9)))</formula>
    </cfRule>
  </conditionalFormatting>
  <hyperlinks>
    <hyperlink ref="A1" location="'Test Case Overview'!A1" display="Return to Test Case Overview" xr:uid="{00000000-0004-0000-4F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37" id="{011FCEE8-1DD3-4DF2-8EC4-E95F099F7BC6}">
            <xm:f>'TC1'!$B8="Speak"</xm:f>
            <x14:dxf>
              <font>
                <b/>
                <i val="0"/>
                <color rgb="FFFF0000"/>
              </font>
            </x14:dxf>
          </x14:cfRule>
          <xm:sqref>C8</xm:sqref>
        </x14:conditionalFormatting>
        <x14:conditionalFormatting xmlns:xm="http://schemas.microsoft.com/office/excel/2006/main">
          <x14:cfRule type="expression" priority="26" id="{8F86F9EB-5D4E-43D3-B069-FB25B9E4184F}">
            <xm:f>'TC1'!$B8="HANGUP"</xm:f>
            <x14:dxf>
              <font>
                <b/>
                <i val="0"/>
              </font>
            </x14:dxf>
          </x14:cfRule>
          <x14:cfRule type="expression" priority="27" id="{D9D1EED9-6B19-4856-921E-2A8957B75324}">
            <xm:f>'TC1'!$B8="Dial"</xm:f>
            <x14:dxf>
              <font>
                <b/>
                <i val="0"/>
                <color rgb="FFFF0000"/>
              </font>
            </x14:dxf>
          </x14:cfRule>
          <xm:sqref>C8</xm:sqref>
        </x14:conditionalFormatting>
        <x14:conditionalFormatting xmlns:xm="http://schemas.microsoft.com/office/excel/2006/main">
          <x14:cfRule type="containsText" priority="24" operator="containsText" text="DB" id="{37267D6F-79D1-4008-B4C3-F6E6F023E768}">
            <xm:f>NOT(ISERROR(SEARCH("DB",'TC1'!E10)))</xm:f>
            <x14:dxf>
              <font>
                <color rgb="FF006100"/>
              </font>
              <fill>
                <patternFill>
                  <bgColor rgb="FFC6EFCE"/>
                </patternFill>
              </fill>
            </x14:dxf>
          </x14:cfRule>
          <x14:cfRule type="containsText" priority="29" operator="containsText" text="WEB SERVICE" id="{4DC90213-5A64-4D72-B72C-55B26CF22EB3}">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861" id="{011FCEE8-1DD3-4DF2-8EC4-E95F099F7BC6}">
            <xm:f>'TC1'!#REF!="Speak"</xm:f>
            <x14:dxf>
              <font>
                <b/>
                <i val="0"/>
                <color rgb="FFFF0000"/>
              </font>
            </x14:dxf>
          </x14:cfRule>
          <xm:sqref>C13 C15 C17 C19:C24</xm:sqref>
        </x14:conditionalFormatting>
        <x14:conditionalFormatting xmlns:xm="http://schemas.microsoft.com/office/excel/2006/main">
          <x14:cfRule type="expression" priority="1867" id="{8F86F9EB-5D4E-43D3-B069-FB25B9E4184F}">
            <xm:f>'TC1'!#REF!="HANGUP"</xm:f>
            <x14:dxf>
              <font>
                <b/>
                <i val="0"/>
              </font>
            </x14:dxf>
          </x14:cfRule>
          <x14:cfRule type="expression" priority="1868" id="{D9D1EED9-6B19-4856-921E-2A8957B75324}">
            <xm:f>'TC1'!#REF!="Dial"</xm:f>
            <x14:dxf>
              <font>
                <b/>
                <i val="0"/>
                <color rgb="FFFF0000"/>
              </font>
            </x14:dxf>
          </x14:cfRule>
          <xm:sqref>C13 C15 C17 C19:C24</xm:sqref>
        </x14:conditionalFormatting>
        <x14:conditionalFormatting xmlns:xm="http://schemas.microsoft.com/office/excel/2006/main">
          <x14:cfRule type="containsText" priority="1875" operator="containsText" text="DB" id="{37267D6F-79D1-4008-B4C3-F6E6F023E768}">
            <xm:f>NOT(ISERROR(SEARCH("DB",'TC1'!#REF!)))</xm:f>
            <x14:dxf>
              <font>
                <color rgb="FF006100"/>
              </font>
              <fill>
                <patternFill>
                  <bgColor rgb="FFC6EFCE"/>
                </patternFill>
              </fill>
            </x14:dxf>
          </x14:cfRule>
          <x14:cfRule type="containsText" priority="1876" operator="containsText" text="WEB SERVICE" id="{4DC90213-5A64-4D72-B72C-55B26CF22EB3}">
            <xm:f>NOT(ISERROR(SEARCH("WEB SERVICE",'TC1'!#REF!)))</xm:f>
            <x14:dxf>
              <font>
                <color rgb="FF9C0006"/>
              </font>
              <fill>
                <patternFill>
                  <bgColor rgb="FFFFC7CE"/>
                </patternFill>
              </fill>
            </x14:dxf>
          </x14:cfRule>
          <xm:sqref>E13:E24</xm:sqref>
        </x14:conditionalFormatting>
        <x14:conditionalFormatting xmlns:xm="http://schemas.microsoft.com/office/excel/2006/main">
          <x14:cfRule type="expression" priority="4004" id="{011FCEE8-1DD3-4DF2-8EC4-E95F099F7BC6}">
            <xm:f>'TC1'!$B10="Speak"</xm:f>
            <x14:dxf>
              <font>
                <b/>
                <i val="0"/>
                <color rgb="FFFF0000"/>
              </font>
            </x14:dxf>
          </x14:cfRule>
          <xm:sqref>C9:C11</xm:sqref>
        </x14:conditionalFormatting>
        <x14:conditionalFormatting xmlns:xm="http://schemas.microsoft.com/office/excel/2006/main">
          <x14:cfRule type="expression" priority="4007" id="{8F86F9EB-5D4E-43D3-B069-FB25B9E4184F}">
            <xm:f>'TC1'!$B10="HANGUP"</xm:f>
            <x14:dxf>
              <font>
                <b/>
                <i val="0"/>
              </font>
            </x14:dxf>
          </x14:cfRule>
          <x14:cfRule type="expression" priority="4008" id="{D9D1EED9-6B19-4856-921E-2A8957B75324}">
            <xm:f>'TC1'!$B10="Dial"</xm:f>
            <x14:dxf>
              <font>
                <b/>
                <i val="0"/>
                <color rgb="FFFF0000"/>
              </font>
            </x14:dxf>
          </x14:cfRule>
          <xm:sqref>C9:C11</xm:sqref>
        </x14:conditionalFormatting>
        <x14:conditionalFormatting xmlns:xm="http://schemas.microsoft.com/office/excel/2006/main">
          <x14:cfRule type="expression" priority="10" id="{40F0A86D-4464-44E0-ACCF-AB29DCE408EA}">
            <xm:f>'TC1'!#REF!="HANGUP"</xm:f>
            <x14:dxf>
              <font>
                <b/>
                <i val="0"/>
              </font>
            </x14:dxf>
          </x14:cfRule>
          <x14:cfRule type="expression" priority="11" id="{E9170271-4585-4415-8991-1BA0E4356119}">
            <xm:f>'TC1'!#REF!="Dial"</xm:f>
            <x14:dxf>
              <font>
                <b/>
                <i val="0"/>
                <color rgb="FFFF0000"/>
              </font>
            </x14:dxf>
          </x14:cfRule>
          <xm:sqref>C12</xm:sqref>
        </x14:conditionalFormatting>
        <x14:conditionalFormatting xmlns:xm="http://schemas.microsoft.com/office/excel/2006/main">
          <x14:cfRule type="expression" priority="12" id="{2CE890EF-B717-491F-AC68-995DDE32ADB6}">
            <xm:f>'TC1'!#REF!="Speak"</xm:f>
            <x14:dxf>
              <font>
                <b/>
                <i val="0"/>
                <color rgb="FFFF0000"/>
              </font>
            </x14:dxf>
          </x14:cfRule>
          <xm:sqref>C12</xm:sqref>
        </x14:conditionalFormatting>
        <x14:conditionalFormatting xmlns:xm="http://schemas.microsoft.com/office/excel/2006/main">
          <x14:cfRule type="expression" priority="7" id="{ACC30CA6-2CC8-4C07-AAD7-FFD1408CD47E}">
            <xm:f>'TC1'!#REF!="HANGUP"</xm:f>
            <x14:dxf>
              <font>
                <b/>
                <i val="0"/>
              </font>
            </x14:dxf>
          </x14:cfRule>
          <x14:cfRule type="expression" priority="8" id="{463DB994-730D-461A-B2D6-0FD6D61DFB6A}">
            <xm:f>'TC1'!#REF!="Dial"</xm:f>
            <x14:dxf>
              <font>
                <b/>
                <i val="0"/>
                <color rgb="FFFF0000"/>
              </font>
            </x14:dxf>
          </x14:cfRule>
          <xm:sqref>C14</xm:sqref>
        </x14:conditionalFormatting>
        <x14:conditionalFormatting xmlns:xm="http://schemas.microsoft.com/office/excel/2006/main">
          <x14:cfRule type="expression" priority="9" id="{B221D4DC-5409-49D5-9E54-4A5D713FB156}">
            <xm:f>'TC1'!#REF!="Speak"</xm:f>
            <x14:dxf>
              <font>
                <b/>
                <i val="0"/>
                <color rgb="FFFF0000"/>
              </font>
            </x14:dxf>
          </x14:cfRule>
          <xm:sqref>C14</xm:sqref>
        </x14:conditionalFormatting>
        <x14:conditionalFormatting xmlns:xm="http://schemas.microsoft.com/office/excel/2006/main">
          <x14:cfRule type="expression" priority="4" id="{7CDC65F6-21AB-449F-918B-69AFF76F8A3F}">
            <xm:f>'TC1'!#REF!="HANGUP"</xm:f>
            <x14:dxf>
              <font>
                <b/>
                <i val="0"/>
              </font>
            </x14:dxf>
          </x14:cfRule>
          <x14:cfRule type="expression" priority="5" id="{DE1E47C4-EC19-4D7D-ABD3-A9A4995487BD}">
            <xm:f>'TC1'!#REF!="Dial"</xm:f>
            <x14:dxf>
              <font>
                <b/>
                <i val="0"/>
                <color rgb="FFFF0000"/>
              </font>
            </x14:dxf>
          </x14:cfRule>
          <xm:sqref>C16</xm:sqref>
        </x14:conditionalFormatting>
        <x14:conditionalFormatting xmlns:xm="http://schemas.microsoft.com/office/excel/2006/main">
          <x14:cfRule type="expression" priority="6" id="{FB469BC5-BAB0-44F5-9B47-8BCE5D44C903}">
            <xm:f>'TC1'!#REF!="Speak"</xm:f>
            <x14:dxf>
              <font>
                <b/>
                <i val="0"/>
                <color rgb="FFFF0000"/>
              </font>
            </x14:dxf>
          </x14:cfRule>
          <xm:sqref>C16</xm:sqref>
        </x14:conditionalFormatting>
        <x14:conditionalFormatting xmlns:xm="http://schemas.microsoft.com/office/excel/2006/main">
          <x14:cfRule type="expression" priority="1" id="{66BBDA5D-8BCB-4A82-BCC4-CC67CBDB8867}">
            <xm:f>'TC1'!#REF!="HANGUP"</xm:f>
            <x14:dxf>
              <font>
                <b/>
                <i val="0"/>
              </font>
            </x14:dxf>
          </x14:cfRule>
          <x14:cfRule type="expression" priority="2" id="{BC80D4EB-8A31-4CD8-BCC5-4220B6844CCE}">
            <xm:f>'TC1'!#REF!="Dial"</xm:f>
            <x14:dxf>
              <font>
                <b/>
                <i val="0"/>
                <color rgb="FFFF0000"/>
              </font>
            </x14:dxf>
          </x14:cfRule>
          <xm:sqref>C18</xm:sqref>
        </x14:conditionalFormatting>
        <x14:conditionalFormatting xmlns:xm="http://schemas.microsoft.com/office/excel/2006/main">
          <x14:cfRule type="expression" priority="3" id="{7D039429-F58A-4984-AB00-A229826F3349}">
            <xm:f>'TC1'!#REF!="Speak"</xm:f>
            <x14:dxf>
              <font>
                <b/>
                <i val="0"/>
                <color rgb="FFFF0000"/>
              </font>
            </x14:dxf>
          </x14:cfRule>
          <xm:sqref>C18</xm:sqref>
        </x14:conditionalFormatting>
      </x14:conditionalFormattings>
    </ext>
  </extLst>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2"/>
  <dimension ref="A1:E29"/>
  <sheetViews>
    <sheetView zoomScaleNormal="100" workbookViewId="0">
      <selection activeCell="C31" sqref="C31"/>
    </sheetView>
  </sheetViews>
  <sheetFormatPr defaultRowHeight="15"/>
  <cols>
    <col min="1" max="1" width="14.42578125" style="41" bestFit="1" customWidth="1"/>
    <col min="2" max="2" width="42.7109375" style="41" customWidth="1"/>
    <col min="3" max="3" width="106.28515625" style="21" customWidth="1"/>
    <col min="4" max="4" width="21.7109375" style="32" bestFit="1" customWidth="1"/>
    <col min="5" max="5" width="20.7109375" style="41" customWidth="1"/>
  </cols>
  <sheetData>
    <row r="1" spans="1:5" ht="18.75">
      <c r="A1" s="197" t="s">
        <v>4</v>
      </c>
      <c r="B1" s="197"/>
      <c r="C1" s="18"/>
    </row>
    <row r="2" spans="1:5">
      <c r="A2" s="19" t="s">
        <v>5</v>
      </c>
      <c r="B2" s="20" t="str">
        <f ca="1">MID(CELL("filename",A1),FIND("]",CELL("filename",A1))+1,LEN(CELL("filename",A1))-FIND("]",CELL("filename",A1)))</f>
        <v>TC80</v>
      </c>
    </row>
    <row r="3" spans="1:5">
      <c r="A3" s="22" t="s">
        <v>19</v>
      </c>
      <c r="B3" s="23">
        <f ca="1">VLOOKUP(B2,Table53[#All],2,FALSE)</f>
        <v>0</v>
      </c>
    </row>
    <row r="4" spans="1:5" ht="45">
      <c r="A4" s="38" t="s">
        <v>20</v>
      </c>
      <c r="B4" s="37" t="str">
        <f ca="1">VLOOKUP(B2,Table53[#All],4,FALSE)</f>
        <v>svcArea=titleSvcs, serviceType=chgOwner, Not in progress or complete &lt;90days. 325-S-DD-T</v>
      </c>
      <c r="C4" s="21" t="s">
        <v>226</v>
      </c>
    </row>
    <row r="5" spans="1:5" ht="60">
      <c r="A5" s="22" t="s">
        <v>6</v>
      </c>
      <c r="B5" s="75" t="str">
        <f ca="1">VLOOKUP(B2,Table53[#All],3,FALSE)</f>
        <v>CallStart Main Menu /Title /Ownership changes/ID Auth=True/ownership trust at ChangeMenu/ after hearing peg 0330 / say info letter/HU</v>
      </c>
    </row>
    <row r="7" spans="1:5" ht="15.75">
      <c r="A7" s="96" t="s">
        <v>7</v>
      </c>
      <c r="B7" s="97" t="s">
        <v>8</v>
      </c>
      <c r="C7" s="98" t="s">
        <v>9</v>
      </c>
      <c r="D7" s="98" t="s">
        <v>14</v>
      </c>
      <c r="E7" s="99" t="s">
        <v>10</v>
      </c>
    </row>
    <row r="8" spans="1:5" s="93" customFormat="1">
      <c r="A8" s="114">
        <v>1</v>
      </c>
      <c r="B8" s="110" t="s">
        <v>114</v>
      </c>
      <c r="C8" s="105" t="s">
        <v>125</v>
      </c>
      <c r="D8" s="125"/>
      <c r="E8" s="122" t="s">
        <v>11</v>
      </c>
    </row>
    <row r="9" spans="1:5" s="93" customFormat="1">
      <c r="A9" s="114">
        <v>2</v>
      </c>
      <c r="B9" s="110" t="s">
        <v>115</v>
      </c>
      <c r="C9" s="105" t="str">
        <f>VLOOKUP(Table2575525269101343444647484956575859631518171922456667717273747677787993949510010410911111311511713813914157[[#This Row],[PEG]],Table1016[#All],2,FALSE)</f>
        <v>CallID.wav Call ID &lt;CallID&gt;</v>
      </c>
      <c r="D9" s="152" t="s">
        <v>477</v>
      </c>
      <c r="E9" s="122" t="str">
        <f>VLOOKUP(Table2575525269101343444647484956575859631518171922456667717273747677787993949510010410911111311511713813914157[[#This Row],[PEG]],Table1016[#All],3,FALSE)</f>
        <v>TEST</v>
      </c>
    </row>
    <row r="10" spans="1:5" s="93" customFormat="1" ht="30">
      <c r="A10" s="114">
        <v>3</v>
      </c>
      <c r="B10" s="110" t="s">
        <v>115</v>
      </c>
      <c r="C10" s="105" t="str">
        <f>VLOOKUP(Table2575525269101343444647484956575859631518171922456667717273747677787993949510010410911111311511713813914157[[#This Row],[PEG]],Table1016[#All],2,FALSE)</f>
        <v>0100.wav Thank you for calling Shell vacations Club, we are glad you called. Please have your account number available for faster service. [To continue in Spanish, press 9]</v>
      </c>
      <c r="D10" s="152">
        <v>100</v>
      </c>
      <c r="E10" s="122" t="str">
        <f>VLOOKUP(Table2575525269101343444647484956575859631518171922456667717273747677787993949510010410911111311511713813914157[[#This Row],[PEG]],Table1016[#All],3,FALSE)</f>
        <v>PLAY PROMPT</v>
      </c>
    </row>
    <row r="11" spans="1:5" s="93" customFormat="1" ht="30">
      <c r="A11" s="114">
        <v>4</v>
      </c>
      <c r="B11" s="110" t="s">
        <v>115</v>
      </c>
      <c r="C11" s="105" t="str">
        <f>VLOOKUP(Table2575525269101343444647484956575859631518171922456667717273747677787993949510010410911111311511713813914157[[#This Row],[PEG]],Table1016[#All],2,FALSE)</f>
        <v>0110-1.wav Which would you like? You can say... reservations, payments &amp; statements, title &amp; ownership changes, or more options.</v>
      </c>
      <c r="D11" s="152">
        <v>110</v>
      </c>
      <c r="E11" s="122" t="str">
        <f>VLOOKUP(Table2575525269101343444647484956575859631518171922456667717273747677787993949510010410911111311511713813914157[[#This Row],[PEG]],Table1016[#All],3,FALSE)</f>
        <v>MENU PROMPT</v>
      </c>
    </row>
    <row r="12" spans="1:5" s="93" customFormat="1">
      <c r="A12" s="114">
        <v>5</v>
      </c>
      <c r="B12" s="110" t="s">
        <v>124</v>
      </c>
      <c r="C12" s="151" t="s">
        <v>486</v>
      </c>
      <c r="D12" s="152"/>
      <c r="E12" s="122" t="e">
        <f>VLOOKUP(Table2575525269101343444647484956575859631518171922456667717273747677787993949510010410911111311511713813914157[[#This Row],[PEG]],Table1016[#All],3,FALSE)</f>
        <v>#N/A</v>
      </c>
    </row>
    <row r="13" spans="1:5" s="93" customFormat="1" ht="30">
      <c r="A13" s="114">
        <v>6</v>
      </c>
      <c r="B13" s="110" t="s">
        <v>115</v>
      </c>
      <c r="C13" s="105" t="str">
        <f>VLOOKUP(Table2575525269101343444647484956575859631518171922456667717273747677787993949510010410911111311511713813914157[[#This Row],[PEG]],Table1016[#All],2,FALSE)</f>
        <v>0300-1.wav You can say ownership changes, check status, make a payment, or help me with something else. Which would you like?</v>
      </c>
      <c r="D13" s="152">
        <v>300</v>
      </c>
      <c r="E13" s="122" t="str">
        <f>VLOOKUP(Table2575525269101343444647484956575859631518171922456667717273747677787993949510010410911111311511713813914157[[#This Row],[PEG]],Table1016[#All],3,FALSE)</f>
        <v>MENU PROMPT</v>
      </c>
    </row>
    <row r="14" spans="1:5" s="93" customFormat="1">
      <c r="A14" s="114">
        <v>7</v>
      </c>
      <c r="B14" s="110" t="s">
        <v>124</v>
      </c>
      <c r="C14" s="151" t="s">
        <v>506</v>
      </c>
      <c r="D14" s="125"/>
      <c r="E14" s="122" t="e">
        <f>VLOOKUP(Table2575525269101343444647484956575859631518171922456667717273747677787993949510010410911111311511713813914157[[#This Row],[PEG]],Table1016[#All],3,FALSE)</f>
        <v>#N/A</v>
      </c>
    </row>
    <row r="15" spans="1:5">
      <c r="A15" s="114">
        <v>8</v>
      </c>
      <c r="B15" s="110" t="s">
        <v>115</v>
      </c>
      <c r="C15" s="105" t="str">
        <f>VLOOKUP(Table2575525269101343444647484956575859631518171922456667717273747677787993949510010410911111311511713813914157[[#This Row],[PEG]],Table1016[#All],2,FALSE)</f>
        <v>0200-1.wav To get started, what is your account number?</v>
      </c>
      <c r="D15" s="153">
        <v>200</v>
      </c>
      <c r="E15" s="122" t="str">
        <f>VLOOKUP(Table2575525269101343444647484956575859631518171922456667717273747677787993949510010410911111311511713813914157[[#This Row],[PEG]],Table1016[#All],3,FALSE)</f>
        <v>MENU PROMPT</v>
      </c>
    </row>
    <row r="16" spans="1:5">
      <c r="A16" s="114">
        <v>9</v>
      </c>
      <c r="B16" s="110" t="s">
        <v>114</v>
      </c>
      <c r="C16" s="151" t="s">
        <v>515</v>
      </c>
      <c r="D16" s="112"/>
      <c r="E16" s="122" t="e">
        <f>VLOOKUP(Table2575525269101343444647484956575859631518171922456667717273747677787993949510010410911111311511713813914157[[#This Row],[PEG]],Table1016[#All],3,FALSE)</f>
        <v>#N/A</v>
      </c>
    </row>
    <row r="17" spans="1:5">
      <c r="A17" s="114">
        <v>10</v>
      </c>
      <c r="B17" s="110" t="s">
        <v>115</v>
      </c>
      <c r="C17" s="105" t="str">
        <f>VLOOKUP(Table2575525269101343444647484956575859631518171922456667717273747677787993949510010410911111311511713813914157[[#This Row],[PEG]],Table1016[#All],2,FALSE)</f>
        <v>0210-1.wav And the date of birth for the primary owner?</v>
      </c>
      <c r="D17" s="154">
        <v>210</v>
      </c>
      <c r="E17" s="122" t="str">
        <f>VLOOKUP(Table2575525269101343444647484956575859631518171922456667717273747677787993949510010410911111311511713813914157[[#This Row],[PEG]],Table1016[#All],3,FALSE)</f>
        <v>MENU PROMPT</v>
      </c>
    </row>
    <row r="18" spans="1:5">
      <c r="A18" s="114">
        <v>11</v>
      </c>
      <c r="B18" s="110" t="s">
        <v>124</v>
      </c>
      <c r="C18" s="151" t="s">
        <v>524</v>
      </c>
      <c r="D18" s="113"/>
      <c r="E18" s="122" t="e">
        <f>VLOOKUP(Table2575525269101343444647484956575859631518171922456667717273747677787993949510010410911111311511713813914157[[#This Row],[PEG]],Table1016[#All],3,FALSE)</f>
        <v>#N/A</v>
      </c>
    </row>
    <row r="19" spans="1:5" ht="45">
      <c r="A19" s="114">
        <v>12</v>
      </c>
      <c r="B19" s="110" t="s">
        <v>115</v>
      </c>
      <c r="C19" s="105" t="str">
        <f>VLOOKUP(Table2575525269101343444647484956575859631518171922456667717273747677787993949510010410911111311511713813914157[[#This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54">
        <v>320</v>
      </c>
      <c r="E19" s="122" t="str">
        <f>VLOOKUP(Table2575525269101343444647484956575859631518171922456667717273747677787993949510010410911111311511713813914157[[#This Row],[PEG]],Table1016[#All],3,FALSE)</f>
        <v>MENU PROMPT</v>
      </c>
    </row>
    <row r="20" spans="1:5">
      <c r="A20" s="114">
        <v>13</v>
      </c>
      <c r="B20" s="110" t="s">
        <v>124</v>
      </c>
      <c r="C20" s="151" t="s">
        <v>542</v>
      </c>
      <c r="D20" s="113"/>
      <c r="E20" s="122" t="e">
        <f>VLOOKUP(Table2575525269101343444647484956575859631518171922456667717273747677787993949510010410911111311511713813914157[[#This Row],[PEG]],Table1016[#All],3,FALSE)</f>
        <v>#N/A</v>
      </c>
    </row>
    <row r="21" spans="1:5" ht="90">
      <c r="A21" s="114">
        <v>14</v>
      </c>
      <c r="B21" s="110" t="s">
        <v>115</v>
      </c>
      <c r="C21" s="105" t="str">
        <f>VLOOKUP(Table2575525269101343444647484956575859631518171922456667717273747677787993949510010410911111311511713813914157[[#This Row],[PEG]],Table1016[#All],2,FALSE)</f>
        <v>Wyndham requires a $100 processing fee per account to update ownership and a new recorded deed from the county where you own the property. We recommend that you use a licensed professional to execute the document. In addition to the new recorded deed, please send with the Trustee’s or company representative, first and last name, address, phone number, email address, date of birth, copy of government issued ID along with a copy of your trust documents or corporate documents and current certificate of good standing. Please send the information to 6277 Sea Harbor Drive, Orlando Florida 32821, attention, Shell Member Transfers.</v>
      </c>
      <c r="D21" s="113" t="s">
        <v>226</v>
      </c>
      <c r="E21" s="122" t="str">
        <f>VLOOKUP(Table2575525269101343444647484956575859631518171922456667717273747677787993949510010410911111311511713813914157[[#This Row],[PEG]],Table1016[#All],3,FALSE)</f>
        <v>PLAY PROMPT</v>
      </c>
    </row>
    <row r="22" spans="1:5" ht="30">
      <c r="A22" s="114">
        <v>15</v>
      </c>
      <c r="B22" s="110" t="s">
        <v>115</v>
      </c>
      <c r="C22" s="105" t="str">
        <f>VLOOKUP(Table2575525269101343444647484956575859631518171922456667717273747677787993949510010410911111311511713813914157[[#This Row],[PEG]],Table1016[#All],2,FALSE)</f>
        <v>0330-1.wav To hear this information again, say repeat that. If you would like me to send you a letter with instructions to start the process, say information letter.</v>
      </c>
      <c r="D22" s="113">
        <v>330</v>
      </c>
      <c r="E22" s="122" t="str">
        <f>VLOOKUP(Table2575525269101343444647484956575859631518171922456667717273747677787993949510010410911111311511713813914157[[#This Row],[PEG]],Table1016[#All],3,FALSE)</f>
        <v>MENU PROMPT</v>
      </c>
    </row>
    <row r="23" spans="1:5">
      <c r="A23" s="114">
        <v>16</v>
      </c>
      <c r="B23" s="110" t="s">
        <v>124</v>
      </c>
      <c r="C23" s="151" t="s">
        <v>531</v>
      </c>
      <c r="D23" s="113"/>
      <c r="E23" s="122" t="e">
        <f>VLOOKUP(Table2575525269101343444647484956575859631518171922456667717273747677787993949510010410911111311511713813914157[[#This Row],[PEG]],Table1016[#All],3,FALSE)</f>
        <v>#N/A</v>
      </c>
    </row>
    <row r="24" spans="1:5" ht="14.45" customHeight="1">
      <c r="A24" s="114">
        <v>17</v>
      </c>
      <c r="B24" s="110" t="s">
        <v>13</v>
      </c>
      <c r="C24" s="156" t="s">
        <v>13</v>
      </c>
      <c r="D24" s="151"/>
      <c r="E24" s="122" t="e">
        <f>VLOOKUP(Table2575525269101343444647484956575859631518171922456667717273747677787993949510010410911111311511713813914157[[#This Row],[PEG]],Table1016[#All],3,FALSE)</f>
        <v>#N/A</v>
      </c>
    </row>
    <row r="25" spans="1:5">
      <c r="C25" s="25"/>
    </row>
    <row r="26" spans="1:5">
      <c r="C26" s="25"/>
    </row>
    <row r="27" spans="1:5">
      <c r="C27" s="26"/>
    </row>
    <row r="28" spans="1:5">
      <c r="C28" s="26"/>
    </row>
    <row r="29" spans="1:5">
      <c r="C29" s="26"/>
    </row>
  </sheetData>
  <mergeCells count="1">
    <mergeCell ref="A1:B1"/>
  </mergeCells>
  <conditionalFormatting sqref="C25:C9968">
    <cfRule type="expression" dxfId="4053" priority="57">
      <formula>$B25="Dial"</formula>
    </cfRule>
    <cfRule type="expression" dxfId="4052" priority="59">
      <formula>$B25="HANGUP"</formula>
    </cfRule>
  </conditionalFormatting>
  <conditionalFormatting sqref="B8">
    <cfRule type="containsText" dxfId="4051" priority="16" operator="containsText" text="Hear">
      <formula>NOT(ISERROR(SEARCH("Hear",B8)))</formula>
    </cfRule>
  </conditionalFormatting>
  <conditionalFormatting sqref="B20:B24">
    <cfRule type="containsText" dxfId="4050" priority="15" operator="containsText" text="Hear">
      <formula>NOT(ISERROR(SEARCH("Hear",B20)))</formula>
    </cfRule>
  </conditionalFormatting>
  <conditionalFormatting sqref="B18:B19">
    <cfRule type="containsText" dxfId="4049" priority="14" operator="containsText" text="Hear">
      <formula>NOT(ISERROR(SEARCH("Hear",B18)))</formula>
    </cfRule>
  </conditionalFormatting>
  <conditionalFormatting sqref="B9:B17">
    <cfRule type="containsText" dxfId="4048" priority="13" operator="containsText" text="Hear">
      <formula>NOT(ISERROR(SEARCH("Hear",B9)))</formula>
    </cfRule>
  </conditionalFormatting>
  <hyperlinks>
    <hyperlink ref="A1" location="'Test Case Overview'!A1" display="Return to Test Case Overview" xr:uid="{00000000-0004-0000-50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38" id="{12B87081-1D91-407B-A565-4743971DC109}">
            <xm:f>'TC1'!$B8="Speak"</xm:f>
            <x14:dxf>
              <font>
                <b/>
                <i val="0"/>
                <color rgb="FFFF0000"/>
              </font>
            </x14:dxf>
          </x14:cfRule>
          <xm:sqref>C8</xm:sqref>
        </x14:conditionalFormatting>
        <x14:conditionalFormatting xmlns:xm="http://schemas.microsoft.com/office/excel/2006/main">
          <x14:cfRule type="expression" priority="26" id="{48A2FDA1-11EC-42E2-B477-638FB3AAEB53}">
            <xm:f>'TC1'!$B8="HANGUP"</xm:f>
            <x14:dxf>
              <font>
                <b/>
                <i val="0"/>
              </font>
            </x14:dxf>
          </x14:cfRule>
          <x14:cfRule type="expression" priority="27" id="{70FE98EF-F053-4FB8-9BEC-3ABB11FCC29F}">
            <xm:f>'TC1'!$B8="Dial"</xm:f>
            <x14:dxf>
              <font>
                <b/>
                <i val="0"/>
                <color rgb="FFFF0000"/>
              </font>
            </x14:dxf>
          </x14:cfRule>
          <xm:sqref>C8</xm:sqref>
        </x14:conditionalFormatting>
        <x14:conditionalFormatting xmlns:xm="http://schemas.microsoft.com/office/excel/2006/main">
          <x14:cfRule type="containsText" priority="24" operator="containsText" text="DB" id="{68B93342-F139-48E6-AB0D-B754D63CD8C1}">
            <xm:f>NOT(ISERROR(SEARCH("DB",'TC1'!E10)))</xm:f>
            <x14:dxf>
              <font>
                <color rgb="FF006100"/>
              </font>
              <fill>
                <patternFill>
                  <bgColor rgb="FFC6EFCE"/>
                </patternFill>
              </fill>
            </x14:dxf>
          </x14:cfRule>
          <x14:cfRule type="containsText" priority="29" operator="containsText" text="WEB SERVICE" id="{DD80B7C7-BF93-46E0-A572-AA02F3F4112A}">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881" id="{12B87081-1D91-407B-A565-4743971DC109}">
            <xm:f>'TC1'!#REF!="Speak"</xm:f>
            <x14:dxf>
              <font>
                <b/>
                <i val="0"/>
                <color rgb="FFFF0000"/>
              </font>
            </x14:dxf>
          </x14:cfRule>
          <xm:sqref>C13:C15 C17 C19:C24</xm:sqref>
        </x14:conditionalFormatting>
        <x14:conditionalFormatting xmlns:xm="http://schemas.microsoft.com/office/excel/2006/main">
          <x14:cfRule type="expression" priority="1887" id="{48A2FDA1-11EC-42E2-B477-638FB3AAEB53}">
            <xm:f>'TC1'!#REF!="HANGUP"</xm:f>
            <x14:dxf>
              <font>
                <b/>
                <i val="0"/>
              </font>
            </x14:dxf>
          </x14:cfRule>
          <x14:cfRule type="expression" priority="1888" id="{70FE98EF-F053-4FB8-9BEC-3ABB11FCC29F}">
            <xm:f>'TC1'!#REF!="Dial"</xm:f>
            <x14:dxf>
              <font>
                <b/>
                <i val="0"/>
                <color rgb="FFFF0000"/>
              </font>
            </x14:dxf>
          </x14:cfRule>
          <xm:sqref>C13:C15 C17 C19:C24</xm:sqref>
        </x14:conditionalFormatting>
        <x14:conditionalFormatting xmlns:xm="http://schemas.microsoft.com/office/excel/2006/main">
          <x14:cfRule type="containsText" priority="1895" operator="containsText" text="DB" id="{68B93342-F139-48E6-AB0D-B754D63CD8C1}">
            <xm:f>NOT(ISERROR(SEARCH("DB",'TC1'!#REF!)))</xm:f>
            <x14:dxf>
              <font>
                <color rgb="FF006100"/>
              </font>
              <fill>
                <patternFill>
                  <bgColor rgb="FFC6EFCE"/>
                </patternFill>
              </fill>
            </x14:dxf>
          </x14:cfRule>
          <x14:cfRule type="containsText" priority="1896" operator="containsText" text="WEB SERVICE" id="{DD80B7C7-BF93-46E0-A572-AA02F3F4112A}">
            <xm:f>NOT(ISERROR(SEARCH("WEB SERVICE",'TC1'!#REF!)))</xm:f>
            <x14:dxf>
              <font>
                <color rgb="FF9C0006"/>
              </font>
              <fill>
                <patternFill>
                  <bgColor rgb="FFFFC7CE"/>
                </patternFill>
              </fill>
            </x14:dxf>
          </x14:cfRule>
          <xm:sqref>E13:E24</xm:sqref>
        </x14:conditionalFormatting>
        <x14:conditionalFormatting xmlns:xm="http://schemas.microsoft.com/office/excel/2006/main">
          <x14:cfRule type="expression" priority="4012" id="{12B87081-1D91-407B-A565-4743971DC109}">
            <xm:f>'TC1'!$B10="Speak"</xm:f>
            <x14:dxf>
              <font>
                <b/>
                <i val="0"/>
                <color rgb="FFFF0000"/>
              </font>
            </x14:dxf>
          </x14:cfRule>
          <xm:sqref>C9:C11</xm:sqref>
        </x14:conditionalFormatting>
        <x14:conditionalFormatting xmlns:xm="http://schemas.microsoft.com/office/excel/2006/main">
          <x14:cfRule type="expression" priority="4015" id="{48A2FDA1-11EC-42E2-B477-638FB3AAEB53}">
            <xm:f>'TC1'!$B10="HANGUP"</xm:f>
            <x14:dxf>
              <font>
                <b/>
                <i val="0"/>
              </font>
            </x14:dxf>
          </x14:cfRule>
          <x14:cfRule type="expression" priority="4016" id="{70FE98EF-F053-4FB8-9BEC-3ABB11FCC29F}">
            <xm:f>'TC1'!$B10="Dial"</xm:f>
            <x14:dxf>
              <font>
                <b/>
                <i val="0"/>
                <color rgb="FFFF0000"/>
              </font>
            </x14:dxf>
          </x14:cfRule>
          <xm:sqref>C9:C11</xm:sqref>
        </x14:conditionalFormatting>
        <x14:conditionalFormatting xmlns:xm="http://schemas.microsoft.com/office/excel/2006/main">
          <x14:cfRule type="expression" priority="10" id="{F5720912-C694-4F7B-BC4C-D150FCE6CAAB}">
            <xm:f>'TC1'!#REF!="HANGUP"</xm:f>
            <x14:dxf>
              <font>
                <b/>
                <i val="0"/>
              </font>
            </x14:dxf>
          </x14:cfRule>
          <x14:cfRule type="expression" priority="11" id="{09550C11-B80A-4B30-9986-67293A981BDC}">
            <xm:f>'TC1'!#REF!="Dial"</xm:f>
            <x14:dxf>
              <font>
                <b/>
                <i val="0"/>
                <color rgb="FFFF0000"/>
              </font>
            </x14:dxf>
          </x14:cfRule>
          <xm:sqref>D24</xm:sqref>
        </x14:conditionalFormatting>
        <x14:conditionalFormatting xmlns:xm="http://schemas.microsoft.com/office/excel/2006/main">
          <x14:cfRule type="expression" priority="12" id="{03627E5F-9C4F-460D-95A7-5B31A1223716}">
            <xm:f>'TC1'!#REF!="Speak"</xm:f>
            <x14:dxf>
              <font>
                <b/>
                <i val="0"/>
                <color rgb="FFFF0000"/>
              </font>
            </x14:dxf>
          </x14:cfRule>
          <xm:sqref>D24</xm:sqref>
        </x14:conditionalFormatting>
        <x14:conditionalFormatting xmlns:xm="http://schemas.microsoft.com/office/excel/2006/main">
          <x14:cfRule type="expression" priority="7" id="{C78B0087-4D28-44C2-8666-A3D06F0960FB}">
            <xm:f>'TC1'!#REF!="HANGUP"</xm:f>
            <x14:dxf>
              <font>
                <b/>
                <i val="0"/>
              </font>
            </x14:dxf>
          </x14:cfRule>
          <x14:cfRule type="expression" priority="8" id="{999EBFB8-55C4-4337-8042-568B26543967}">
            <xm:f>'TC1'!#REF!="Dial"</xm:f>
            <x14:dxf>
              <font>
                <b/>
                <i val="0"/>
                <color rgb="FFFF0000"/>
              </font>
            </x14:dxf>
          </x14:cfRule>
          <xm:sqref>C12</xm:sqref>
        </x14:conditionalFormatting>
        <x14:conditionalFormatting xmlns:xm="http://schemas.microsoft.com/office/excel/2006/main">
          <x14:cfRule type="expression" priority="9" id="{2BEA33CC-0B51-46C3-870A-CA917C81F3B1}">
            <xm:f>'TC1'!#REF!="Speak"</xm:f>
            <x14:dxf>
              <font>
                <b/>
                <i val="0"/>
                <color rgb="FFFF0000"/>
              </font>
            </x14:dxf>
          </x14:cfRule>
          <xm:sqref>C12</xm:sqref>
        </x14:conditionalFormatting>
        <x14:conditionalFormatting xmlns:xm="http://schemas.microsoft.com/office/excel/2006/main">
          <x14:cfRule type="expression" priority="4" id="{8BDC948F-0B31-4239-92C5-15BBCFCEC098}">
            <xm:f>'TC1'!#REF!="HANGUP"</xm:f>
            <x14:dxf>
              <font>
                <b/>
                <i val="0"/>
              </font>
            </x14:dxf>
          </x14:cfRule>
          <x14:cfRule type="expression" priority="5" id="{CFFBA033-36D1-4224-AEA2-6CCD8A57E55B}">
            <xm:f>'TC1'!#REF!="Dial"</xm:f>
            <x14:dxf>
              <font>
                <b/>
                <i val="0"/>
                <color rgb="FFFF0000"/>
              </font>
            </x14:dxf>
          </x14:cfRule>
          <xm:sqref>C16</xm:sqref>
        </x14:conditionalFormatting>
        <x14:conditionalFormatting xmlns:xm="http://schemas.microsoft.com/office/excel/2006/main">
          <x14:cfRule type="expression" priority="6" id="{12EEC1F3-0FF6-4123-8358-136A70C2C7A8}">
            <xm:f>'TC1'!#REF!="Speak"</xm:f>
            <x14:dxf>
              <font>
                <b/>
                <i val="0"/>
                <color rgb="FFFF0000"/>
              </font>
            </x14:dxf>
          </x14:cfRule>
          <xm:sqref>C16</xm:sqref>
        </x14:conditionalFormatting>
        <x14:conditionalFormatting xmlns:xm="http://schemas.microsoft.com/office/excel/2006/main">
          <x14:cfRule type="expression" priority="1" id="{A6FA4F3B-B325-4F94-8A30-B38F34DB9EAE}">
            <xm:f>'TC1'!#REF!="HANGUP"</xm:f>
            <x14:dxf>
              <font>
                <b/>
                <i val="0"/>
              </font>
            </x14:dxf>
          </x14:cfRule>
          <x14:cfRule type="expression" priority="2" id="{EFBC242B-0CB0-427D-9448-E12314DD3078}">
            <xm:f>'TC1'!#REF!="Dial"</xm:f>
            <x14:dxf>
              <font>
                <b/>
                <i val="0"/>
                <color rgb="FFFF0000"/>
              </font>
            </x14:dxf>
          </x14:cfRule>
          <xm:sqref>C18</xm:sqref>
        </x14:conditionalFormatting>
        <x14:conditionalFormatting xmlns:xm="http://schemas.microsoft.com/office/excel/2006/main">
          <x14:cfRule type="expression" priority="3" id="{1834D7E8-640B-4A74-A0CF-51B30EF1A6F5}">
            <xm:f>'TC1'!#REF!="Speak"</xm:f>
            <x14:dxf>
              <font>
                <b/>
                <i val="0"/>
                <color rgb="FFFF0000"/>
              </font>
            </x14:dxf>
          </x14:cfRule>
          <xm:sqref>C18</xm:sqref>
        </x14:conditionalFormatting>
      </x14:conditionalFormattings>
    </ext>
  </extLst>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3"/>
  <dimension ref="A1:E41"/>
  <sheetViews>
    <sheetView zoomScaleNormal="100" workbookViewId="0">
      <selection sqref="A1:B1"/>
    </sheetView>
  </sheetViews>
  <sheetFormatPr defaultRowHeight="15"/>
  <cols>
    <col min="1" max="1" width="14.42578125" style="41" bestFit="1" customWidth="1"/>
    <col min="2" max="2" width="42.7109375" style="41" customWidth="1"/>
    <col min="3" max="3" width="106.28515625" style="21" customWidth="1"/>
    <col min="4" max="4" width="21.7109375" style="32" bestFit="1" customWidth="1"/>
    <col min="5" max="5" width="20.7109375" style="41" customWidth="1"/>
  </cols>
  <sheetData>
    <row r="1" spans="1:5" ht="18.75">
      <c r="A1" s="197" t="s">
        <v>4</v>
      </c>
      <c r="B1" s="197"/>
      <c r="C1" s="18"/>
    </row>
    <row r="2" spans="1:5">
      <c r="A2" s="19" t="s">
        <v>5</v>
      </c>
      <c r="B2" s="20" t="str">
        <f ca="1">MID(CELL("filename",A1),FIND("]",CELL("filename",A1))+1,LEN(CELL("filename",A1))-FIND("]",CELL("filename",A1)))</f>
        <v>TC81</v>
      </c>
    </row>
    <row r="3" spans="1:5">
      <c r="A3" s="22" t="s">
        <v>19</v>
      </c>
      <c r="B3" s="23">
        <f ca="1">VLOOKUP(B2,Table53[#All],2,FALSE)</f>
        <v>0</v>
      </c>
    </row>
    <row r="4" spans="1:5" ht="45">
      <c r="A4" s="38" t="s">
        <v>20</v>
      </c>
      <c r="B4" s="37" t="str">
        <f ca="1">VLOOKUP(B2,Table53[#All],4,FALSE)</f>
        <v>svcArea=titleSvcs, serviceType=chgOwner, Not in progress or complete &lt;90days. 325-S-DD-X</v>
      </c>
      <c r="C4" s="21" t="s">
        <v>230</v>
      </c>
    </row>
    <row r="5" spans="1:5" ht="45">
      <c r="A5" s="22" t="s">
        <v>6</v>
      </c>
      <c r="B5" s="75" t="str">
        <f ca="1">VLOOKUP(B2,Table53[#All],3,FALSE)</f>
        <v xml:space="preserve">CallStart Main Menu /Title /Ownership changes/ID Auth=True/ transfer owner at ChangeMenu/HU after hearing peg 0330 </v>
      </c>
    </row>
    <row r="7" spans="1:5" ht="15.75">
      <c r="A7" s="96" t="s">
        <v>7</v>
      </c>
      <c r="B7" s="97" t="s">
        <v>8</v>
      </c>
      <c r="C7" s="98" t="s">
        <v>9</v>
      </c>
      <c r="D7" s="98" t="s">
        <v>14</v>
      </c>
      <c r="E7" s="99" t="s">
        <v>10</v>
      </c>
    </row>
    <row r="8" spans="1:5" s="93" customFormat="1">
      <c r="A8" s="114">
        <v>1</v>
      </c>
      <c r="B8" s="110" t="s">
        <v>114</v>
      </c>
      <c r="C8" s="105" t="s">
        <v>125</v>
      </c>
      <c r="D8" s="125"/>
      <c r="E8" s="122" t="s">
        <v>11</v>
      </c>
    </row>
    <row r="9" spans="1:5" s="93" customFormat="1">
      <c r="A9" s="114">
        <v>2</v>
      </c>
      <c r="B9" s="110" t="s">
        <v>115</v>
      </c>
      <c r="C9" s="105" t="str">
        <f>VLOOKUP(Table25751[[#This Row],[PEG]],Table1016[#All],2,FALSE)</f>
        <v>CallID.wav Call ID &lt;CallID&gt;</v>
      </c>
      <c r="D9" s="152" t="s">
        <v>477</v>
      </c>
      <c r="E9" s="122" t="str">
        <f>VLOOKUP(Table25751[[#This Row],[PEG]],Table1016[#All],3,FALSE)</f>
        <v>TEST</v>
      </c>
    </row>
    <row r="10" spans="1:5" s="93" customFormat="1" ht="30">
      <c r="A10" s="114">
        <v>3</v>
      </c>
      <c r="B10" s="110" t="s">
        <v>115</v>
      </c>
      <c r="C10" s="105" t="str">
        <f>VLOOKUP(Table25751[[#This Row],[PEG]],Table1016[#All],2,FALSE)</f>
        <v>0100.wav Thank you for calling Shell vacations Club, we are glad you called. Please have your account number available for faster service. [To continue in Spanish, press 9]</v>
      </c>
      <c r="D10" s="152">
        <v>100</v>
      </c>
      <c r="E10" s="122" t="str">
        <f>VLOOKUP(Table25751[[#This Row],[PEG]],Table1016[#All],3,FALSE)</f>
        <v>PLAY PROMPT</v>
      </c>
    </row>
    <row r="11" spans="1:5" s="93" customFormat="1" ht="30">
      <c r="A11" s="114">
        <v>4</v>
      </c>
      <c r="B11" s="110" t="s">
        <v>115</v>
      </c>
      <c r="C11" s="105" t="str">
        <f>VLOOKUP(Table25751[[#This Row],[PEG]],Table1016[#All],2,FALSE)</f>
        <v>0110-1.wav Which would you like? You can say... reservations, payments &amp; statements, title &amp; ownership changes, or more options.</v>
      </c>
      <c r="D11" s="152">
        <v>110</v>
      </c>
      <c r="E11" s="122" t="str">
        <f>VLOOKUP(Table25751[[#This Row],[PEG]],Table1016[#All],3,FALSE)</f>
        <v>MENU PROMPT</v>
      </c>
    </row>
    <row r="12" spans="1:5" s="93" customFormat="1">
      <c r="A12" s="114">
        <v>5</v>
      </c>
      <c r="B12" s="110" t="s">
        <v>124</v>
      </c>
      <c r="C12" s="151" t="s">
        <v>486</v>
      </c>
      <c r="D12" s="152"/>
      <c r="E12" s="122" t="e">
        <f>VLOOKUP(Table25751[[#This Row],[PEG]],Table1016[#All],3,FALSE)</f>
        <v>#N/A</v>
      </c>
    </row>
    <row r="13" spans="1:5" s="93" customFormat="1" ht="30">
      <c r="A13" s="114">
        <v>6</v>
      </c>
      <c r="B13" s="110" t="s">
        <v>115</v>
      </c>
      <c r="C13" s="105" t="str">
        <f>VLOOKUP(Table25751[[#This Row],[PEG]],Table1016[#All],2,FALSE)</f>
        <v>0300-1.wav You can say ownership changes, check status, make a payment, or help me with something else. Which would you like?</v>
      </c>
      <c r="D13" s="152">
        <v>300</v>
      </c>
      <c r="E13" s="122" t="str">
        <f>VLOOKUP(Table25751[[#This Row],[PEG]],Table1016[#All],3,FALSE)</f>
        <v>MENU PROMPT</v>
      </c>
    </row>
    <row r="14" spans="1:5" s="93" customFormat="1">
      <c r="A14" s="114">
        <v>7</v>
      </c>
      <c r="B14" s="110" t="s">
        <v>124</v>
      </c>
      <c r="C14" s="151" t="s">
        <v>527</v>
      </c>
      <c r="D14" s="125"/>
      <c r="E14" s="122" t="e">
        <f>VLOOKUP(Table25751[[#This Row],[PEG]],Table1016[#All],3,FALSE)</f>
        <v>#N/A</v>
      </c>
    </row>
    <row r="15" spans="1:5">
      <c r="A15" s="114">
        <v>8</v>
      </c>
      <c r="B15" s="110" t="s">
        <v>115</v>
      </c>
      <c r="C15" s="105" t="str">
        <f>VLOOKUP(Table25751[[#This Row],[PEG]],Table1016[#All],2,FALSE)</f>
        <v>0200-1.wav To get started, what is your account number?</v>
      </c>
      <c r="D15" s="153">
        <v>200</v>
      </c>
      <c r="E15" s="122" t="str">
        <f>VLOOKUP(Table25751[[#This Row],[PEG]],Table1016[#All],3,FALSE)</f>
        <v>MENU PROMPT</v>
      </c>
    </row>
    <row r="16" spans="1:5">
      <c r="A16" s="114">
        <v>9</v>
      </c>
      <c r="B16" s="110" t="s">
        <v>114</v>
      </c>
      <c r="C16" s="151" t="s">
        <v>515</v>
      </c>
      <c r="D16" s="112"/>
      <c r="E16" s="122" t="e">
        <f>VLOOKUP(Table25751[[#This Row],[PEG]],Table1016[#All],3,FALSE)</f>
        <v>#N/A</v>
      </c>
    </row>
    <row r="17" spans="1:5">
      <c r="A17" s="114">
        <v>10</v>
      </c>
      <c r="B17" s="110" t="s">
        <v>115</v>
      </c>
      <c r="C17" s="105" t="str">
        <f>VLOOKUP(Table25751[[#This Row],[PEG]],Table1016[#All],2,FALSE)</f>
        <v>0210-1.wav And the date of birth for the primary owner?</v>
      </c>
      <c r="D17" s="154">
        <v>210</v>
      </c>
      <c r="E17" s="122" t="str">
        <f>VLOOKUP(Table25751[[#This Row],[PEG]],Table1016[#All],3,FALSE)</f>
        <v>MENU PROMPT</v>
      </c>
    </row>
    <row r="18" spans="1:5">
      <c r="A18" s="114">
        <v>11</v>
      </c>
      <c r="B18" s="110" t="s">
        <v>124</v>
      </c>
      <c r="C18" s="151" t="s">
        <v>524</v>
      </c>
      <c r="D18" s="113"/>
      <c r="E18" s="122" t="e">
        <f>VLOOKUP(Table25751[[#This Row],[PEG]],Table1016[#All],3,FALSE)</f>
        <v>#N/A</v>
      </c>
    </row>
    <row r="19" spans="1:5" ht="45">
      <c r="A19" s="114">
        <v>12</v>
      </c>
      <c r="B19" s="110" t="s">
        <v>115</v>
      </c>
      <c r="C19" s="105" t="str">
        <f>VLOOKUP(Table25751[[#This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54">
        <v>320</v>
      </c>
      <c r="E19" s="122" t="str">
        <f>VLOOKUP(Table25751[[#This Row],[PEG]],Table1016[#All],3,FALSE)</f>
        <v>MENU PROMPT</v>
      </c>
    </row>
    <row r="20" spans="1:5">
      <c r="A20" s="114">
        <v>13</v>
      </c>
      <c r="B20" s="110" t="s">
        <v>124</v>
      </c>
      <c r="C20" s="151" t="s">
        <v>507</v>
      </c>
      <c r="D20" s="113"/>
      <c r="E20" s="122" t="e">
        <f>VLOOKUP(Table25751[[#This Row],[PEG]],Table1016[#All],3,FALSE)</f>
        <v>#N/A</v>
      </c>
    </row>
    <row r="21" spans="1:5" ht="75">
      <c r="A21" s="114">
        <v>14</v>
      </c>
      <c r="B21" s="110" t="s">
        <v>115</v>
      </c>
      <c r="C21" s="105" t="str">
        <f>VLOOKUP(Table25751[[#This Row],[PEG]],Table1016[#All],2,FALSE)</f>
        <v>Wyndham requires a $100 processing fee per account to update ownership and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Shell Member Transfers.</v>
      </c>
      <c r="D21" s="94" t="s">
        <v>230</v>
      </c>
      <c r="E21" s="122" t="str">
        <f>VLOOKUP(Table25751[[#This Row],[PEG]],Table1016[#All],3,FALSE)</f>
        <v>PLAY PROMPT</v>
      </c>
    </row>
    <row r="22" spans="1:5" ht="30">
      <c r="A22" s="114">
        <v>15</v>
      </c>
      <c r="B22" s="110" t="s">
        <v>115</v>
      </c>
      <c r="C22" s="105" t="str">
        <f>VLOOKUP(Table25751[[#This Row],[PEG]],Table1016[#All],2,FALSE)</f>
        <v>0330-1.wav To hear this information again, say repeat that. If you would like me to send you a letter with instructions to start the process, say information letter.</v>
      </c>
      <c r="D22" s="113">
        <v>330</v>
      </c>
      <c r="E22" s="122" t="str">
        <f>VLOOKUP(Table25751[[#This Row],[PEG]],Table1016[#All],3,FALSE)</f>
        <v>MENU PROMPT</v>
      </c>
    </row>
    <row r="23" spans="1:5">
      <c r="A23" s="114">
        <v>16</v>
      </c>
      <c r="B23" s="34" t="s">
        <v>13</v>
      </c>
      <c r="C23" s="17" t="s">
        <v>13</v>
      </c>
      <c r="D23" s="76"/>
      <c r="E23" s="31"/>
    </row>
    <row r="24" spans="1:5">
      <c r="C24" s="25"/>
      <c r="D24" s="32" t="s">
        <v>0</v>
      </c>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5"/>
    </row>
    <row r="39" spans="3:3">
      <c r="C39" s="26"/>
    </row>
    <row r="40" spans="3:3">
      <c r="C40" s="26"/>
    </row>
    <row r="41" spans="3:3">
      <c r="C41" s="26"/>
    </row>
  </sheetData>
  <mergeCells count="1">
    <mergeCell ref="A1:B1"/>
  </mergeCells>
  <conditionalFormatting sqref="B23">
    <cfRule type="containsText" dxfId="4013" priority="54" operator="containsText" text="Hear">
      <formula>NOT(ISERROR(SEARCH("Hear",B23)))</formula>
    </cfRule>
  </conditionalFormatting>
  <conditionalFormatting sqref="E23">
    <cfRule type="containsText" dxfId="4012" priority="52" operator="containsText" text="WEB SERVICE">
      <formula>NOT(ISERROR(SEARCH("WEB SERVICE",E23)))</formula>
    </cfRule>
    <cfRule type="containsText" dxfId="4011" priority="53" operator="containsText" text="DB">
      <formula>NOT(ISERROR(SEARCH("DB",E23)))</formula>
    </cfRule>
  </conditionalFormatting>
  <conditionalFormatting sqref="C23:C9980">
    <cfRule type="expression" dxfId="4010" priority="55">
      <formula>$B23="Dial"</formula>
    </cfRule>
    <cfRule type="expression" dxfId="4009" priority="57">
      <formula>$B23="HANGUP"</formula>
    </cfRule>
  </conditionalFormatting>
  <conditionalFormatting sqref="C23">
    <cfRule type="expression" dxfId="4008" priority="56">
      <formula>$B23="Speak"</formula>
    </cfRule>
  </conditionalFormatting>
  <conditionalFormatting sqref="B8">
    <cfRule type="containsText" dxfId="4007" priority="13" operator="containsText" text="Hear">
      <formula>NOT(ISERROR(SEARCH("Hear",B8)))</formula>
    </cfRule>
  </conditionalFormatting>
  <conditionalFormatting sqref="B20:B22">
    <cfRule type="containsText" dxfId="4006" priority="12" operator="containsText" text="Hear">
      <formula>NOT(ISERROR(SEARCH("Hear",B20)))</formula>
    </cfRule>
  </conditionalFormatting>
  <conditionalFormatting sqref="B18:B19">
    <cfRule type="containsText" dxfId="4005" priority="11" operator="containsText" text="Hear">
      <formula>NOT(ISERROR(SEARCH("Hear",B18)))</formula>
    </cfRule>
  </conditionalFormatting>
  <conditionalFormatting sqref="B9:B17">
    <cfRule type="containsText" dxfId="4004" priority="10" operator="containsText" text="Hear">
      <formula>NOT(ISERROR(SEARCH("Hear",B9)))</formula>
    </cfRule>
  </conditionalFormatting>
  <hyperlinks>
    <hyperlink ref="A1" location="'Test Case Overview'!A1" display="Return to Test Case Overview" xr:uid="{00000000-0004-0000-5100-000000000000}"/>
  </hyperlink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36" id="{C036866A-603B-4762-BBCB-161234DC42F1}">
            <xm:f>'TC1'!$B8="Speak"</xm:f>
            <x14:dxf>
              <font>
                <b/>
                <i val="0"/>
                <color rgb="FFFF0000"/>
              </font>
            </x14:dxf>
          </x14:cfRule>
          <xm:sqref>C8</xm:sqref>
        </x14:conditionalFormatting>
        <x14:conditionalFormatting xmlns:xm="http://schemas.microsoft.com/office/excel/2006/main">
          <x14:cfRule type="expression" priority="23" id="{B2256EE3-FAE4-4569-AB2C-EF0C0256A318}">
            <xm:f>'TC1'!$B8="HANGUP"</xm:f>
            <x14:dxf>
              <font>
                <b/>
                <i val="0"/>
              </font>
            </x14:dxf>
          </x14:cfRule>
          <x14:cfRule type="expression" priority="24" id="{1D3C54AB-F25A-48D2-81D2-F6F0FDA43810}">
            <xm:f>'TC1'!$B8="Dial"</xm:f>
            <x14:dxf>
              <font>
                <b/>
                <i val="0"/>
                <color rgb="FFFF0000"/>
              </font>
            </x14:dxf>
          </x14:cfRule>
          <xm:sqref>C8</xm:sqref>
        </x14:conditionalFormatting>
        <x14:conditionalFormatting xmlns:xm="http://schemas.microsoft.com/office/excel/2006/main">
          <x14:cfRule type="containsText" priority="21" operator="containsText" text="DB" id="{BB76FD91-A668-4380-BB56-1E98CA2161DA}">
            <xm:f>NOT(ISERROR(SEARCH("DB",'TC1'!E10)))</xm:f>
            <x14:dxf>
              <font>
                <color rgb="FF006100"/>
              </font>
              <fill>
                <patternFill>
                  <bgColor rgb="FFC6EFCE"/>
                </patternFill>
              </fill>
            </x14:dxf>
          </x14:cfRule>
          <x14:cfRule type="containsText" priority="26" operator="containsText" text="WEB SERVICE" id="{C4163817-4384-4226-BD68-809D5C351BF6}">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898" id="{C036866A-603B-4762-BBCB-161234DC42F1}">
            <xm:f>'TC1'!#REF!="Speak"</xm:f>
            <x14:dxf>
              <font>
                <b/>
                <i val="0"/>
                <color rgb="FFFF0000"/>
              </font>
            </x14:dxf>
          </x14:cfRule>
          <xm:sqref>C13:C15 C17 C19:C22</xm:sqref>
        </x14:conditionalFormatting>
        <x14:conditionalFormatting xmlns:xm="http://schemas.microsoft.com/office/excel/2006/main">
          <x14:cfRule type="expression" priority="1904" id="{B2256EE3-FAE4-4569-AB2C-EF0C0256A318}">
            <xm:f>'TC1'!#REF!="HANGUP"</xm:f>
            <x14:dxf>
              <font>
                <b/>
                <i val="0"/>
              </font>
            </x14:dxf>
          </x14:cfRule>
          <x14:cfRule type="expression" priority="1905" id="{1D3C54AB-F25A-48D2-81D2-F6F0FDA43810}">
            <xm:f>'TC1'!#REF!="Dial"</xm:f>
            <x14:dxf>
              <font>
                <b/>
                <i val="0"/>
                <color rgb="FFFF0000"/>
              </font>
            </x14:dxf>
          </x14:cfRule>
          <xm:sqref>C13:C15 C17 C19:C22</xm:sqref>
        </x14:conditionalFormatting>
        <x14:conditionalFormatting xmlns:xm="http://schemas.microsoft.com/office/excel/2006/main">
          <x14:cfRule type="containsText" priority="1912" operator="containsText" text="DB" id="{BB76FD91-A668-4380-BB56-1E98CA2161DA}">
            <xm:f>NOT(ISERROR(SEARCH("DB",'TC1'!#REF!)))</xm:f>
            <x14:dxf>
              <font>
                <color rgb="FF006100"/>
              </font>
              <fill>
                <patternFill>
                  <bgColor rgb="FFC6EFCE"/>
                </patternFill>
              </fill>
            </x14:dxf>
          </x14:cfRule>
          <x14:cfRule type="containsText" priority="1913" operator="containsText" text="WEB SERVICE" id="{C4163817-4384-4226-BD68-809D5C351BF6}">
            <xm:f>NOT(ISERROR(SEARCH("WEB SERVICE",'TC1'!#REF!)))</xm:f>
            <x14:dxf>
              <font>
                <color rgb="FF9C0006"/>
              </font>
              <fill>
                <patternFill>
                  <bgColor rgb="FFFFC7CE"/>
                </patternFill>
              </fill>
            </x14:dxf>
          </x14:cfRule>
          <xm:sqref>E13:E22</xm:sqref>
        </x14:conditionalFormatting>
        <x14:conditionalFormatting xmlns:xm="http://schemas.microsoft.com/office/excel/2006/main">
          <x14:cfRule type="expression" priority="4017" id="{C036866A-603B-4762-BBCB-161234DC42F1}">
            <xm:f>'TC1'!$B10="Speak"</xm:f>
            <x14:dxf>
              <font>
                <b/>
                <i val="0"/>
                <color rgb="FFFF0000"/>
              </font>
            </x14:dxf>
          </x14:cfRule>
          <xm:sqref>C9:C11</xm:sqref>
        </x14:conditionalFormatting>
        <x14:conditionalFormatting xmlns:xm="http://schemas.microsoft.com/office/excel/2006/main">
          <x14:cfRule type="expression" priority="4020" id="{B2256EE3-FAE4-4569-AB2C-EF0C0256A318}">
            <xm:f>'TC1'!$B10="HANGUP"</xm:f>
            <x14:dxf>
              <font>
                <b/>
                <i val="0"/>
              </font>
            </x14:dxf>
          </x14:cfRule>
          <x14:cfRule type="expression" priority="4021" id="{1D3C54AB-F25A-48D2-81D2-F6F0FDA43810}">
            <xm:f>'TC1'!$B10="Dial"</xm:f>
            <x14:dxf>
              <font>
                <b/>
                <i val="0"/>
                <color rgb="FFFF0000"/>
              </font>
            </x14:dxf>
          </x14:cfRule>
          <xm:sqref>C9:C11</xm:sqref>
        </x14:conditionalFormatting>
        <x14:conditionalFormatting xmlns:xm="http://schemas.microsoft.com/office/excel/2006/main">
          <x14:cfRule type="expression" priority="7" id="{067175BA-961E-420D-8583-2021AA456494}">
            <xm:f>'TC1'!#REF!="HANGUP"</xm:f>
            <x14:dxf>
              <font>
                <b/>
                <i val="0"/>
              </font>
            </x14:dxf>
          </x14:cfRule>
          <x14:cfRule type="expression" priority="8" id="{FC1813CE-AA7F-4FCF-85EC-1E079A19464A}">
            <xm:f>'TC1'!#REF!="Dial"</xm:f>
            <x14:dxf>
              <font>
                <b/>
                <i val="0"/>
                <color rgb="FFFF0000"/>
              </font>
            </x14:dxf>
          </x14:cfRule>
          <xm:sqref>C12</xm:sqref>
        </x14:conditionalFormatting>
        <x14:conditionalFormatting xmlns:xm="http://schemas.microsoft.com/office/excel/2006/main">
          <x14:cfRule type="expression" priority="9" id="{7FE1E647-BD37-49BD-A8B7-238BFBE3A4A8}">
            <xm:f>'TC1'!#REF!="Speak"</xm:f>
            <x14:dxf>
              <font>
                <b/>
                <i val="0"/>
                <color rgb="FFFF0000"/>
              </font>
            </x14:dxf>
          </x14:cfRule>
          <xm:sqref>C12</xm:sqref>
        </x14:conditionalFormatting>
        <x14:conditionalFormatting xmlns:xm="http://schemas.microsoft.com/office/excel/2006/main">
          <x14:cfRule type="expression" priority="4" id="{09F3AFEB-8A37-484D-B2C4-675ABECE364A}">
            <xm:f>'TC1'!#REF!="HANGUP"</xm:f>
            <x14:dxf>
              <font>
                <b/>
                <i val="0"/>
              </font>
            </x14:dxf>
          </x14:cfRule>
          <x14:cfRule type="expression" priority="5" id="{8450B124-C84E-4FED-A072-E29BBA8B2387}">
            <xm:f>'TC1'!#REF!="Dial"</xm:f>
            <x14:dxf>
              <font>
                <b/>
                <i val="0"/>
                <color rgb="FFFF0000"/>
              </font>
            </x14:dxf>
          </x14:cfRule>
          <xm:sqref>C16</xm:sqref>
        </x14:conditionalFormatting>
        <x14:conditionalFormatting xmlns:xm="http://schemas.microsoft.com/office/excel/2006/main">
          <x14:cfRule type="expression" priority="6" id="{4D7B88AA-773D-4762-A8FA-15701373343B}">
            <xm:f>'TC1'!#REF!="Speak"</xm:f>
            <x14:dxf>
              <font>
                <b/>
                <i val="0"/>
                <color rgb="FFFF0000"/>
              </font>
            </x14:dxf>
          </x14:cfRule>
          <xm:sqref>C16</xm:sqref>
        </x14:conditionalFormatting>
        <x14:conditionalFormatting xmlns:xm="http://schemas.microsoft.com/office/excel/2006/main">
          <x14:cfRule type="expression" priority="1" id="{E9B4A24A-B5DF-4D1A-B0A6-20F80B678FFE}">
            <xm:f>'TC1'!#REF!="HANGUP"</xm:f>
            <x14:dxf>
              <font>
                <b/>
                <i val="0"/>
              </font>
            </x14:dxf>
          </x14:cfRule>
          <x14:cfRule type="expression" priority="2" id="{CCDFE944-9A43-4264-A4F0-01D293AB9B34}">
            <xm:f>'TC1'!#REF!="Dial"</xm:f>
            <x14:dxf>
              <font>
                <b/>
                <i val="0"/>
                <color rgb="FFFF0000"/>
              </font>
            </x14:dxf>
          </x14:cfRule>
          <xm:sqref>C18</xm:sqref>
        </x14:conditionalFormatting>
        <x14:conditionalFormatting xmlns:xm="http://schemas.microsoft.com/office/excel/2006/main">
          <x14:cfRule type="expression" priority="3" id="{FA98BC07-D444-426E-A60F-0A0FD5CBF8DA}">
            <xm:f>'TC1'!#REF!="Speak"</xm:f>
            <x14:dxf>
              <font>
                <b/>
                <i val="0"/>
                <color rgb="FFFF0000"/>
              </font>
            </x14:dxf>
          </x14:cfRule>
          <xm:sqref>C18</xm:sqref>
        </x14:conditionalFormatting>
      </x14:conditionalFormattings>
    </ext>
  </extLst>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4"/>
  <dimension ref="A1:E42"/>
  <sheetViews>
    <sheetView zoomScaleNormal="100" workbookViewId="0">
      <selection activeCell="A11" sqref="A11"/>
    </sheetView>
  </sheetViews>
  <sheetFormatPr defaultRowHeight="15"/>
  <cols>
    <col min="1" max="1" width="14.42578125" style="41" bestFit="1" customWidth="1"/>
    <col min="2" max="2" width="42.7109375" style="41" customWidth="1"/>
    <col min="3" max="3" width="106.28515625" style="21" customWidth="1"/>
    <col min="4" max="4" width="21.7109375" style="32" bestFit="1" customWidth="1"/>
    <col min="5" max="5" width="20.7109375" style="41" customWidth="1"/>
  </cols>
  <sheetData>
    <row r="1" spans="1:5" ht="18.75">
      <c r="A1" s="197" t="s">
        <v>4</v>
      </c>
      <c r="B1" s="197"/>
      <c r="C1" s="18"/>
    </row>
    <row r="2" spans="1:5">
      <c r="A2" s="19" t="s">
        <v>5</v>
      </c>
      <c r="B2" s="20" t="str">
        <f ca="1">MID(CELL("filename",A1),FIND("]",CELL("filename",A1))+1,LEN(CELL("filename",A1))-FIND("]",CELL("filename",A1)))</f>
        <v>TC82</v>
      </c>
    </row>
    <row r="3" spans="1:5">
      <c r="A3" s="22" t="s">
        <v>19</v>
      </c>
      <c r="B3" s="23">
        <f ca="1">VLOOKUP(B2,Table53[#All],2,FALSE)</f>
        <v>0</v>
      </c>
    </row>
    <row r="4" spans="1:5" ht="45">
      <c r="A4" s="38" t="s">
        <v>20</v>
      </c>
      <c r="B4" s="37" t="str">
        <f ca="1">VLOOKUP(B2,Table53[#All],4,FALSE)</f>
        <v>svcArea=titleSvcs, serviceType=chgOwner, Not in progress or complete &lt;90days. 325-V-ND-A</v>
      </c>
      <c r="C4" s="21" t="s">
        <v>231</v>
      </c>
    </row>
    <row r="5" spans="1:5" ht="60">
      <c r="A5" s="22" t="s">
        <v>6</v>
      </c>
      <c r="B5" s="75" t="str">
        <f ca="1">VLOOKUP(B2,Table53[#All],3,FALSE)</f>
        <v>CallStart Main Menu /Title /Ownership changes/ID Auth=True/ add owner at ChangeMenu/HU after hearing peg 0330 hear again</v>
      </c>
    </row>
    <row r="7" spans="1:5" ht="15.75">
      <c r="A7" s="96" t="s">
        <v>7</v>
      </c>
      <c r="B7" s="97" t="s">
        <v>8</v>
      </c>
      <c r="C7" s="98" t="s">
        <v>9</v>
      </c>
      <c r="D7" s="98" t="s">
        <v>14</v>
      </c>
      <c r="E7" s="99" t="s">
        <v>10</v>
      </c>
    </row>
    <row r="8" spans="1:5" s="93" customFormat="1">
      <c r="A8" s="114">
        <v>1</v>
      </c>
      <c r="B8" s="110" t="s">
        <v>114</v>
      </c>
      <c r="C8" s="105" t="s">
        <v>125</v>
      </c>
      <c r="D8" s="125"/>
      <c r="E8" s="122" t="s">
        <v>11</v>
      </c>
    </row>
    <row r="9" spans="1:5" s="93" customFormat="1">
      <c r="A9" s="114">
        <v>2</v>
      </c>
      <c r="B9" s="159" t="s">
        <v>12</v>
      </c>
      <c r="C9" s="105" t="str">
        <f>VLOOKUP(Table257519[[#This Row],[PEG]],Table1016[#All],2,FALSE)</f>
        <v>CallID.wav Call ID &lt;CallID&gt;</v>
      </c>
      <c r="D9" s="152" t="s">
        <v>477</v>
      </c>
      <c r="E9" s="122" t="str">
        <f>VLOOKUP(Table257519[[#This Row],[PEG]],Table1016[#All],3,FALSE)</f>
        <v>TEST</v>
      </c>
    </row>
    <row r="10" spans="1:5" s="93" customFormat="1" ht="30">
      <c r="A10" s="114">
        <v>3</v>
      </c>
      <c r="B10" s="110" t="s">
        <v>115</v>
      </c>
      <c r="C10" s="127" t="str">
        <f>VLOOKUP(Table257519[[#This Row],[PEG]],Table1016[#All],2,FALSE)</f>
        <v>0100.wav Thank you for calling Shell vacations Club, we are glad you called. Please have your account number available for faster service. [To continue in Spanish, press 9]</v>
      </c>
      <c r="D10" s="152">
        <v>100</v>
      </c>
      <c r="E10" s="122" t="str">
        <f>VLOOKUP(Table257519[[#This Row],[PEG]],Table1016[#All],3,FALSE)</f>
        <v>PLAY PROMPT</v>
      </c>
    </row>
    <row r="11" spans="1:5" s="93" customFormat="1" ht="30">
      <c r="A11" s="114">
        <v>4</v>
      </c>
      <c r="B11" s="110" t="s">
        <v>115</v>
      </c>
      <c r="C11" s="105" t="str">
        <f>VLOOKUP(Table257519[[#This Row],[PEG]],Table1016[#All],2,FALSE)</f>
        <v>0110-1.wav Which would you like? You can say... reservations, payments &amp; statements, title &amp; ownership changes, or more options.</v>
      </c>
      <c r="D11" s="152">
        <v>110</v>
      </c>
      <c r="E11" s="122" t="str">
        <f>VLOOKUP(Table257519[[#This Row],[PEG]],Table1016[#All],3,FALSE)</f>
        <v>MENU PROMPT</v>
      </c>
    </row>
    <row r="12" spans="1:5" s="93" customFormat="1">
      <c r="A12" s="114">
        <v>5</v>
      </c>
      <c r="B12" s="110" t="s">
        <v>115</v>
      </c>
      <c r="C12" s="151" t="s">
        <v>486</v>
      </c>
      <c r="D12" s="152"/>
      <c r="E12" s="122" t="e">
        <f>VLOOKUP(Table257519[[#This Row],[PEG]],Table1016[#All],3,FALSE)</f>
        <v>#N/A</v>
      </c>
    </row>
    <row r="13" spans="1:5" s="93" customFormat="1" ht="30">
      <c r="A13" s="114">
        <v>6</v>
      </c>
      <c r="B13" s="110" t="s">
        <v>124</v>
      </c>
      <c r="C13" s="105" t="str">
        <f>VLOOKUP(Table257519[[#This Row],[PEG]],Table1016[#All],2,FALSE)</f>
        <v>0300-1.wav You can say ownership changes, check status, make a payment, or help me with something else. Which would you like?</v>
      </c>
      <c r="D13" s="152">
        <v>300</v>
      </c>
      <c r="E13" s="122" t="str">
        <f>VLOOKUP(Table257519[[#This Row],[PEG]],Table1016[#All],3,FALSE)</f>
        <v>MENU PROMPT</v>
      </c>
    </row>
    <row r="14" spans="1:5" s="93" customFormat="1">
      <c r="A14" s="114">
        <v>7</v>
      </c>
      <c r="B14" s="110" t="s">
        <v>115</v>
      </c>
      <c r="C14" s="151" t="s">
        <v>533</v>
      </c>
      <c r="D14" s="125"/>
      <c r="E14" s="122" t="e">
        <f>VLOOKUP(Table257519[[#This Row],[PEG]],Table1016[#All],3,FALSE)</f>
        <v>#N/A</v>
      </c>
    </row>
    <row r="15" spans="1:5">
      <c r="A15" s="114">
        <v>8</v>
      </c>
      <c r="B15" s="110" t="s">
        <v>124</v>
      </c>
      <c r="C15" s="105" t="str">
        <f>VLOOKUP(Table257519[[#This Row],[PEG]],Table1016[#All],2,FALSE)</f>
        <v>0200-1.wav To get started, what is your account number?</v>
      </c>
      <c r="D15" s="153">
        <v>200</v>
      </c>
      <c r="E15" s="122" t="str">
        <f>VLOOKUP(Table257519[[#This Row],[PEG]],Table1016[#All],3,FALSE)</f>
        <v>MENU PROMPT</v>
      </c>
    </row>
    <row r="16" spans="1:5">
      <c r="A16" s="114">
        <v>9</v>
      </c>
      <c r="B16" s="110" t="s">
        <v>115</v>
      </c>
      <c r="C16" s="151" t="s">
        <v>515</v>
      </c>
      <c r="D16" s="112"/>
      <c r="E16" s="122" t="e">
        <f>VLOOKUP(Table257519[[#This Row],[PEG]],Table1016[#All],3,FALSE)</f>
        <v>#N/A</v>
      </c>
    </row>
    <row r="17" spans="1:5">
      <c r="A17" s="114">
        <v>10</v>
      </c>
      <c r="B17" s="110" t="s">
        <v>114</v>
      </c>
      <c r="C17" s="105" t="str">
        <f>VLOOKUP(Table257519[[#This Row],[PEG]],Table1016[#All],2,FALSE)</f>
        <v>0210-1.wav And the date of birth for the primary owner?</v>
      </c>
      <c r="D17" s="154">
        <v>210</v>
      </c>
      <c r="E17" s="122" t="str">
        <f>VLOOKUP(Table257519[[#This Row],[PEG]],Table1016[#All],3,FALSE)</f>
        <v>MENU PROMPT</v>
      </c>
    </row>
    <row r="18" spans="1:5">
      <c r="A18" s="114">
        <v>11</v>
      </c>
      <c r="B18" s="110" t="s">
        <v>115</v>
      </c>
      <c r="C18" s="151" t="s">
        <v>524</v>
      </c>
      <c r="D18" s="113"/>
      <c r="E18" s="122" t="e">
        <f>VLOOKUP(Table257519[[#This Row],[PEG]],Table1016[#All],3,FALSE)</f>
        <v>#N/A</v>
      </c>
    </row>
    <row r="19" spans="1:5" ht="45">
      <c r="A19" s="114">
        <v>12</v>
      </c>
      <c r="B19" s="110" t="s">
        <v>124</v>
      </c>
      <c r="C19" s="105" t="str">
        <f>VLOOKUP(Table257519[[#This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54">
        <v>320</v>
      </c>
      <c r="E19" s="122" t="str">
        <f>VLOOKUP(Table257519[[#This Row],[PEG]],Table1016[#All],3,FALSE)</f>
        <v>MENU PROMPT</v>
      </c>
    </row>
    <row r="20" spans="1:5">
      <c r="A20" s="114">
        <v>13</v>
      </c>
      <c r="B20" s="110" t="s">
        <v>115</v>
      </c>
      <c r="C20" s="151" t="s">
        <v>556</v>
      </c>
      <c r="D20" s="113"/>
      <c r="E20" s="122" t="e">
        <f>VLOOKUP(Table257519[[#This Row],[PEG]],Table1016[#All],3,FALSE)</f>
        <v>#N/A</v>
      </c>
    </row>
    <row r="21" spans="1:5" ht="75">
      <c r="A21" s="114">
        <v>14</v>
      </c>
      <c r="B21" s="110" t="s">
        <v>124</v>
      </c>
      <c r="C21" s="105" t="str">
        <f>VLOOKUP(Table257519[[#This Row],[PEG]],Table1016[#All],2,FALSE)</f>
        <v>Wyndham requires a $299 processing fee to update ownership. In addition, a written request with each of the new owner's, first and last name, address, phone number, email address, date of birth, and copy of government issued ID must be submitted. Please send the information to 6277 Sea Harbor Drive, Orlando, Florida 32821, attention, Ownership Change. Once the information and fee is received, Wyndham will send transfer or add paperwork to be signed in front of a notary and returned.</v>
      </c>
      <c r="D21" s="94" t="s">
        <v>231</v>
      </c>
      <c r="E21" s="122" t="str">
        <f>VLOOKUP(Table257519[[#This Row],[PEG]],Table1016[#All],3,FALSE)</f>
        <v>PLAY PROMPT</v>
      </c>
    </row>
    <row r="22" spans="1:5" ht="30">
      <c r="A22" s="114">
        <v>15</v>
      </c>
      <c r="B22" s="110" t="s">
        <v>115</v>
      </c>
      <c r="C22" s="105" t="str">
        <f>VLOOKUP(Table257519[[#This Row],[PEG]],Table1016[#All],2,FALSE)</f>
        <v>0330-1.wav To hear this information again, say repeat that. If you would like me to send you a letter with instructions to start the process, say information letter.</v>
      </c>
      <c r="D22" s="154">
        <v>330</v>
      </c>
      <c r="E22" s="122" t="str">
        <f>VLOOKUP(Table257519[[#This Row],[PEG]],Table1016[#All],3,FALSE)</f>
        <v>MENU PROMPT</v>
      </c>
    </row>
    <row r="23" spans="1:5">
      <c r="A23" s="114">
        <v>16</v>
      </c>
      <c r="B23" s="110" t="s">
        <v>115</v>
      </c>
      <c r="C23" s="151" t="s">
        <v>520</v>
      </c>
      <c r="D23" s="113"/>
      <c r="E23" s="122" t="e">
        <f>VLOOKUP(Table257519[[#This Row],[PEG]],Table1016[#All],3,FALSE)</f>
        <v>#N/A</v>
      </c>
    </row>
    <row r="24" spans="1:5" ht="75">
      <c r="A24" s="114">
        <v>17</v>
      </c>
      <c r="B24" s="110" t="s">
        <v>124</v>
      </c>
      <c r="C24" s="105" t="str">
        <f>VLOOKUP(Table257519[[#This Row],[PEG]],Table1016[#All],2,FALSE)</f>
        <v>Wyndham requires a $299 processing fee to update ownership. In addition, a written request with each of the new owner's, first and last name, address, phone number, email address, date of birth, and copy of government issued ID must be submitted. Please send the information to 6277 Sea Harbor Drive, Orlando, Florida 32821, attention, Ownership Change. Once the information and fee is received, Wyndham will send transfer or add paperwork to be signed in front of a notary and returned.</v>
      </c>
      <c r="D24" s="94" t="s">
        <v>231</v>
      </c>
      <c r="E24" s="122" t="str">
        <f>VLOOKUP(Table257519[[#This Row],[PEG]],Table1016[#All],3,FALSE)</f>
        <v>PLAY PROMPT</v>
      </c>
    </row>
    <row r="25" spans="1:5">
      <c r="A25" s="114">
        <v>18</v>
      </c>
      <c r="B25" s="110" t="s">
        <v>13</v>
      </c>
      <c r="C25" s="17" t="s">
        <v>13</v>
      </c>
      <c r="D25" s="111"/>
      <c r="E25" s="31"/>
    </row>
    <row r="26" spans="1:5">
      <c r="A26" s="93"/>
      <c r="B26" s="93"/>
      <c r="C26" s="25"/>
      <c r="D26" s="107" t="s">
        <v>0</v>
      </c>
      <c r="E26" s="93"/>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5"/>
    </row>
    <row r="39" spans="3:3">
      <c r="C39" s="25"/>
    </row>
    <row r="40" spans="3:3">
      <c r="C40" s="26"/>
    </row>
    <row r="41" spans="3:3">
      <c r="C41" s="26"/>
    </row>
    <row r="42" spans="3:3">
      <c r="C42" s="26"/>
    </row>
  </sheetData>
  <mergeCells count="1">
    <mergeCell ref="A1:B1"/>
  </mergeCells>
  <conditionalFormatting sqref="C27:C9981">
    <cfRule type="expression" dxfId="3972" priority="61">
      <formula>$B27="Dial"</formula>
    </cfRule>
    <cfRule type="expression" dxfId="3971" priority="63">
      <formula>$B27="HANGUP"</formula>
    </cfRule>
  </conditionalFormatting>
  <conditionalFormatting sqref="B25">
    <cfRule type="containsText" dxfId="3970" priority="19" operator="containsText" text="Hear">
      <formula>NOT(ISERROR(SEARCH("Hear",B25)))</formula>
    </cfRule>
  </conditionalFormatting>
  <conditionalFormatting sqref="E25">
    <cfRule type="containsText" dxfId="3969" priority="27" operator="containsText" text="WEB SERVICE">
      <formula>NOT(ISERROR(SEARCH("WEB SERVICE",E25)))</formula>
    </cfRule>
    <cfRule type="containsText" dxfId="3968" priority="28" operator="containsText" text="DB">
      <formula>NOT(ISERROR(SEARCH("DB",E25)))</formula>
    </cfRule>
  </conditionalFormatting>
  <conditionalFormatting sqref="C25:C26">
    <cfRule type="expression" dxfId="3967" priority="30">
      <formula>$B25="Dial"</formula>
    </cfRule>
    <cfRule type="expression" dxfId="3966" priority="32">
      <formula>$B25="HANGUP"</formula>
    </cfRule>
  </conditionalFormatting>
  <conditionalFormatting sqref="C25">
    <cfRule type="expression" dxfId="3965" priority="31">
      <formula>$B25="Speak"</formula>
    </cfRule>
  </conditionalFormatting>
  <conditionalFormatting sqref="B8:B9">
    <cfRule type="containsText" dxfId="3964" priority="16" operator="containsText" text="Hear">
      <formula>NOT(ISERROR(SEARCH("Hear",B8)))</formula>
    </cfRule>
  </conditionalFormatting>
  <conditionalFormatting sqref="B21:B24">
    <cfRule type="containsText" dxfId="3963" priority="15" operator="containsText" text="Hear">
      <formula>NOT(ISERROR(SEARCH("Hear",B21)))</formula>
    </cfRule>
  </conditionalFormatting>
  <conditionalFormatting sqref="B19:B20">
    <cfRule type="containsText" dxfId="3962" priority="14" operator="containsText" text="Hear">
      <formula>NOT(ISERROR(SEARCH("Hear",B19)))</formula>
    </cfRule>
  </conditionalFormatting>
  <conditionalFormatting sqref="B10:B18">
    <cfRule type="containsText" dxfId="3961" priority="13" operator="containsText" text="Hear">
      <formula>NOT(ISERROR(SEARCH("Hear",B10)))</formula>
    </cfRule>
  </conditionalFormatting>
  <hyperlinks>
    <hyperlink ref="A1" location="'Test Case Overview'!A1" display="Return to Test Case Overview" xr:uid="{00000000-0004-0000-52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39" id="{F04138AD-C2B1-4A63-982F-46AAB1EE5E4E}">
            <xm:f>'TC1'!$B8="Speak"</xm:f>
            <x14:dxf>
              <font>
                <b/>
                <i val="0"/>
                <color rgb="FFFF0000"/>
              </font>
            </x14:dxf>
          </x14:cfRule>
          <xm:sqref>C8</xm:sqref>
        </x14:conditionalFormatting>
        <x14:conditionalFormatting xmlns:xm="http://schemas.microsoft.com/office/excel/2006/main">
          <x14:cfRule type="expression" priority="23" id="{57BB2AC8-C4B4-4E54-9900-965BFC695FA8}">
            <xm:f>'TC1'!$B8="HANGUP"</xm:f>
            <x14:dxf>
              <font>
                <b/>
                <i val="0"/>
              </font>
            </x14:dxf>
          </x14:cfRule>
          <x14:cfRule type="expression" priority="24" id="{E22AF58C-8848-477A-A5F6-948E5B8D1D8C}">
            <xm:f>'TC1'!$B8="Dial"</xm:f>
            <x14:dxf>
              <font>
                <b/>
                <i val="0"/>
                <color rgb="FFFF0000"/>
              </font>
            </x14:dxf>
          </x14:cfRule>
          <xm:sqref>C8</xm:sqref>
        </x14:conditionalFormatting>
        <x14:conditionalFormatting xmlns:xm="http://schemas.microsoft.com/office/excel/2006/main">
          <x14:cfRule type="containsText" priority="22" operator="containsText" text="DB" id="{7F43747C-EFF5-457B-A1AE-97EE10587388}">
            <xm:f>NOT(ISERROR(SEARCH("DB",'TC1'!E10)))</xm:f>
            <x14:dxf>
              <font>
                <color rgb="FF006100"/>
              </font>
              <fill>
                <patternFill>
                  <bgColor rgb="FFC6EFCE"/>
                </patternFill>
              </fill>
            </x14:dxf>
          </x14:cfRule>
          <x14:cfRule type="containsText" priority="26" operator="containsText" text="WEB SERVICE" id="{6A128CA0-2DF3-4C08-B0FC-1497CEFF38F7}">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921" id="{F04138AD-C2B1-4A63-982F-46AAB1EE5E4E}">
            <xm:f>'TC1'!#REF!="Speak"</xm:f>
            <x14:dxf>
              <font>
                <b/>
                <i val="0"/>
                <color rgb="FFFF0000"/>
              </font>
            </x14:dxf>
          </x14:cfRule>
          <xm:sqref>C13 C15 C17 C19:C24</xm:sqref>
        </x14:conditionalFormatting>
        <x14:conditionalFormatting xmlns:xm="http://schemas.microsoft.com/office/excel/2006/main">
          <x14:cfRule type="expression" priority="1927" id="{57BB2AC8-C4B4-4E54-9900-965BFC695FA8}">
            <xm:f>'TC1'!#REF!="HANGUP"</xm:f>
            <x14:dxf>
              <font>
                <b/>
                <i val="0"/>
              </font>
            </x14:dxf>
          </x14:cfRule>
          <x14:cfRule type="expression" priority="1928" id="{E22AF58C-8848-477A-A5F6-948E5B8D1D8C}">
            <xm:f>'TC1'!#REF!="Dial"</xm:f>
            <x14:dxf>
              <font>
                <b/>
                <i val="0"/>
                <color rgb="FFFF0000"/>
              </font>
            </x14:dxf>
          </x14:cfRule>
          <xm:sqref>C13 C15 C17 C19:C24</xm:sqref>
        </x14:conditionalFormatting>
        <x14:conditionalFormatting xmlns:xm="http://schemas.microsoft.com/office/excel/2006/main">
          <x14:cfRule type="containsText" priority="1935" operator="containsText" text="DB" id="{7F43747C-EFF5-457B-A1AE-97EE10587388}">
            <xm:f>NOT(ISERROR(SEARCH("DB",'TC1'!#REF!)))</xm:f>
            <x14:dxf>
              <font>
                <color rgb="FF006100"/>
              </font>
              <fill>
                <patternFill>
                  <bgColor rgb="FFC6EFCE"/>
                </patternFill>
              </fill>
            </x14:dxf>
          </x14:cfRule>
          <x14:cfRule type="containsText" priority="1936" operator="containsText" text="WEB SERVICE" id="{6A128CA0-2DF3-4C08-B0FC-1497CEFF38F7}">
            <xm:f>NOT(ISERROR(SEARCH("WEB SERVICE",'TC1'!#REF!)))</xm:f>
            <x14:dxf>
              <font>
                <color rgb="FF9C0006"/>
              </font>
              <fill>
                <patternFill>
                  <bgColor rgb="FFFFC7CE"/>
                </patternFill>
              </fill>
            </x14:dxf>
          </x14:cfRule>
          <xm:sqref>E13:E24</xm:sqref>
        </x14:conditionalFormatting>
        <x14:conditionalFormatting xmlns:xm="http://schemas.microsoft.com/office/excel/2006/main">
          <x14:cfRule type="expression" priority="4028" id="{F04138AD-C2B1-4A63-982F-46AAB1EE5E4E}">
            <xm:f>'TC1'!$B10="Speak"</xm:f>
            <x14:dxf>
              <font>
                <b/>
                <i val="0"/>
                <color rgb="FFFF0000"/>
              </font>
            </x14:dxf>
          </x14:cfRule>
          <xm:sqref>C9:C11</xm:sqref>
        </x14:conditionalFormatting>
        <x14:conditionalFormatting xmlns:xm="http://schemas.microsoft.com/office/excel/2006/main">
          <x14:cfRule type="expression" priority="4031" id="{57BB2AC8-C4B4-4E54-9900-965BFC695FA8}">
            <xm:f>'TC1'!$B10="HANGUP"</xm:f>
            <x14:dxf>
              <font>
                <b/>
                <i val="0"/>
              </font>
            </x14:dxf>
          </x14:cfRule>
          <x14:cfRule type="expression" priority="4032" id="{E22AF58C-8848-477A-A5F6-948E5B8D1D8C}">
            <xm:f>'TC1'!$B10="Dial"</xm:f>
            <x14:dxf>
              <font>
                <b/>
                <i val="0"/>
                <color rgb="FFFF0000"/>
              </font>
            </x14:dxf>
          </x14:cfRule>
          <xm:sqref>C9:C11</xm:sqref>
        </x14:conditionalFormatting>
        <x14:conditionalFormatting xmlns:xm="http://schemas.microsoft.com/office/excel/2006/main">
          <x14:cfRule type="expression" priority="10" id="{43F96ED3-46C7-46C5-A97C-8ABAE00B8BE6}">
            <xm:f>'TC1'!#REF!="HANGUP"</xm:f>
            <x14:dxf>
              <font>
                <b/>
                <i val="0"/>
              </font>
            </x14:dxf>
          </x14:cfRule>
          <x14:cfRule type="expression" priority="11" id="{F9D1751E-9054-417D-A9E2-29A5440E8056}">
            <xm:f>'TC1'!#REF!="Dial"</xm:f>
            <x14:dxf>
              <font>
                <b/>
                <i val="0"/>
                <color rgb="FFFF0000"/>
              </font>
            </x14:dxf>
          </x14:cfRule>
          <xm:sqref>C12</xm:sqref>
        </x14:conditionalFormatting>
        <x14:conditionalFormatting xmlns:xm="http://schemas.microsoft.com/office/excel/2006/main">
          <x14:cfRule type="expression" priority="12" id="{0EF7D33C-0840-4445-B178-62A5CBE5D772}">
            <xm:f>'TC1'!#REF!="Speak"</xm:f>
            <x14:dxf>
              <font>
                <b/>
                <i val="0"/>
                <color rgb="FFFF0000"/>
              </font>
            </x14:dxf>
          </x14:cfRule>
          <xm:sqref>C12</xm:sqref>
        </x14:conditionalFormatting>
        <x14:conditionalFormatting xmlns:xm="http://schemas.microsoft.com/office/excel/2006/main">
          <x14:cfRule type="expression" priority="7" id="{3561A196-266E-41F3-8AB8-8BF1AA0FA6A3}">
            <xm:f>'TC1'!#REF!="HANGUP"</xm:f>
            <x14:dxf>
              <font>
                <b/>
                <i val="0"/>
              </font>
            </x14:dxf>
          </x14:cfRule>
          <x14:cfRule type="expression" priority="8" id="{B16B2230-B5B8-4078-9298-4D53EEFA6266}">
            <xm:f>'TC1'!#REF!="Dial"</xm:f>
            <x14:dxf>
              <font>
                <b/>
                <i val="0"/>
                <color rgb="FFFF0000"/>
              </font>
            </x14:dxf>
          </x14:cfRule>
          <xm:sqref>C14</xm:sqref>
        </x14:conditionalFormatting>
        <x14:conditionalFormatting xmlns:xm="http://schemas.microsoft.com/office/excel/2006/main">
          <x14:cfRule type="expression" priority="9" id="{83973651-B9B2-4EAD-BC0F-2ED11048F197}">
            <xm:f>'TC1'!#REF!="Speak"</xm:f>
            <x14:dxf>
              <font>
                <b/>
                <i val="0"/>
                <color rgb="FFFF0000"/>
              </font>
            </x14:dxf>
          </x14:cfRule>
          <xm:sqref>C14</xm:sqref>
        </x14:conditionalFormatting>
        <x14:conditionalFormatting xmlns:xm="http://schemas.microsoft.com/office/excel/2006/main">
          <x14:cfRule type="expression" priority="4" id="{7D4A3AEC-E1EF-456C-B6B1-1C0A2244CB50}">
            <xm:f>'TC1'!#REF!="HANGUP"</xm:f>
            <x14:dxf>
              <font>
                <b/>
                <i val="0"/>
              </font>
            </x14:dxf>
          </x14:cfRule>
          <x14:cfRule type="expression" priority="5" id="{63F8DEF7-05D2-4DA3-8A5B-45C26DA13EBE}">
            <xm:f>'TC1'!#REF!="Dial"</xm:f>
            <x14:dxf>
              <font>
                <b/>
                <i val="0"/>
                <color rgb="FFFF0000"/>
              </font>
            </x14:dxf>
          </x14:cfRule>
          <xm:sqref>C16</xm:sqref>
        </x14:conditionalFormatting>
        <x14:conditionalFormatting xmlns:xm="http://schemas.microsoft.com/office/excel/2006/main">
          <x14:cfRule type="expression" priority="6" id="{463FDEB4-6BFB-4BA3-B951-4FAA43DEA5FC}">
            <xm:f>'TC1'!#REF!="Speak"</xm:f>
            <x14:dxf>
              <font>
                <b/>
                <i val="0"/>
                <color rgb="FFFF0000"/>
              </font>
            </x14:dxf>
          </x14:cfRule>
          <xm:sqref>C16</xm:sqref>
        </x14:conditionalFormatting>
        <x14:conditionalFormatting xmlns:xm="http://schemas.microsoft.com/office/excel/2006/main">
          <x14:cfRule type="expression" priority="1" id="{B7FF31DA-3A70-48D4-8844-BBFB1CBB9AC1}">
            <xm:f>'TC1'!#REF!="HANGUP"</xm:f>
            <x14:dxf>
              <font>
                <b/>
                <i val="0"/>
              </font>
            </x14:dxf>
          </x14:cfRule>
          <x14:cfRule type="expression" priority="2" id="{45D267EF-6420-4D3D-A020-3465C9F6D15B}">
            <xm:f>'TC1'!#REF!="Dial"</xm:f>
            <x14:dxf>
              <font>
                <b/>
                <i val="0"/>
                <color rgb="FFFF0000"/>
              </font>
            </x14:dxf>
          </x14:cfRule>
          <xm:sqref>C18</xm:sqref>
        </x14:conditionalFormatting>
        <x14:conditionalFormatting xmlns:xm="http://schemas.microsoft.com/office/excel/2006/main">
          <x14:cfRule type="expression" priority="3" id="{2486F7EC-A907-4AF6-91E3-0EE7F1B1CF4A}">
            <xm:f>'TC1'!#REF!="Speak"</xm:f>
            <x14:dxf>
              <font>
                <b/>
                <i val="0"/>
                <color rgb="FFFF0000"/>
              </font>
            </x14:dxf>
          </x14:cfRule>
          <xm:sqref>C18</xm:sqref>
        </x14:conditionalFormatting>
      </x14:conditionalFormattings>
    </ext>
  </extLst>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5"/>
  <dimension ref="A1:E37"/>
  <sheetViews>
    <sheetView zoomScaleNormal="100" workbookViewId="0">
      <selection activeCell="C16" sqref="C16"/>
    </sheetView>
  </sheetViews>
  <sheetFormatPr defaultRowHeight="15"/>
  <cols>
    <col min="1" max="1" width="14.42578125" style="41" bestFit="1" customWidth="1"/>
    <col min="2" max="2" width="42.7109375" style="41" customWidth="1"/>
    <col min="3" max="3" width="106.28515625" style="21" customWidth="1"/>
    <col min="4" max="4" width="21.7109375" style="32" bestFit="1" customWidth="1"/>
    <col min="5" max="5" width="20.7109375" style="41" customWidth="1"/>
  </cols>
  <sheetData>
    <row r="1" spans="1:5" ht="18.75">
      <c r="A1" s="197" t="s">
        <v>4</v>
      </c>
      <c r="B1" s="197"/>
      <c r="C1" s="18"/>
    </row>
    <row r="2" spans="1:5">
      <c r="A2" s="19" t="s">
        <v>5</v>
      </c>
      <c r="B2" s="20" t="str">
        <f ca="1">MID(CELL("filename",A1),FIND("]",CELL("filename",A1))+1,LEN(CELL("filename",A1))-FIND("]",CELL("filename",A1)))</f>
        <v>TC83</v>
      </c>
    </row>
    <row r="3" spans="1:5">
      <c r="A3" s="22" t="s">
        <v>19</v>
      </c>
      <c r="B3" s="23">
        <f ca="1">VLOOKUP(B2,Table53[#All],2,FALSE)</f>
        <v>0</v>
      </c>
    </row>
    <row r="4" spans="1:5" ht="45">
      <c r="A4" s="38" t="s">
        <v>20</v>
      </c>
      <c r="B4" s="37" t="str">
        <f ca="1">VLOOKUP(B2,Table53[#All],4,FALSE)</f>
        <v>svcArea=titleSvcs, serviceType=chgOwner, Not in progress or complete &lt;90days. 325-V-DD-A</v>
      </c>
      <c r="C4" s="21" t="s">
        <v>233</v>
      </c>
    </row>
    <row r="5" spans="1:5" ht="45">
      <c r="A5" s="22" t="s">
        <v>6</v>
      </c>
      <c r="B5" s="75" t="str">
        <f ca="1">VLOOKUP(B2,Table53[#All],3,FALSE)</f>
        <v xml:space="preserve">CallStart Main Menu /Title /Ownership changes/ID Auth=True/ add owner at ChangeMenu/HU after hearing peg 0330 </v>
      </c>
    </row>
    <row r="7" spans="1:5" ht="15.75">
      <c r="A7" s="96" t="s">
        <v>7</v>
      </c>
      <c r="B7" s="97" t="s">
        <v>8</v>
      </c>
      <c r="C7" s="98" t="s">
        <v>9</v>
      </c>
      <c r="D7" s="98" t="s">
        <v>14</v>
      </c>
      <c r="E7" s="99" t="s">
        <v>10</v>
      </c>
    </row>
    <row r="8" spans="1:5" s="93" customFormat="1">
      <c r="A8" s="114">
        <v>1</v>
      </c>
      <c r="B8" s="110" t="s">
        <v>114</v>
      </c>
      <c r="C8" s="105" t="s">
        <v>125</v>
      </c>
      <c r="D8" s="125"/>
      <c r="E8" s="122" t="s">
        <v>11</v>
      </c>
    </row>
    <row r="9" spans="1:5" s="93" customFormat="1">
      <c r="A9" s="114">
        <v>2</v>
      </c>
      <c r="B9" s="110" t="s">
        <v>115</v>
      </c>
      <c r="C9" s="105" t="str">
        <f>VLOOKUP(Table25751950[[#This Row],[PEG]],Table1016[#All],2,FALSE)</f>
        <v>CallID.wav Call ID &lt;CallID&gt;</v>
      </c>
      <c r="D9" s="152" t="s">
        <v>477</v>
      </c>
      <c r="E9" s="122" t="str">
        <f>VLOOKUP(Table25751950[[#This Row],[PEG]],Table1016[#All],3,FALSE)</f>
        <v>TEST</v>
      </c>
    </row>
    <row r="10" spans="1:5" s="93" customFormat="1" ht="30">
      <c r="A10" s="114">
        <v>3</v>
      </c>
      <c r="B10" s="110" t="s">
        <v>115</v>
      </c>
      <c r="C10" s="105" t="str">
        <f>VLOOKUP(Table25751950[[#This Row],[PEG]],Table1016[#All],2,FALSE)</f>
        <v>0100.wav Thank you for calling Shell vacations Club, we are glad you called. Please have your account number available for faster service. [To continue in Spanish, press 9]</v>
      </c>
      <c r="D10" s="152">
        <v>100</v>
      </c>
      <c r="E10" s="122" t="str">
        <f>VLOOKUP(Table25751950[[#This Row],[PEG]],Table1016[#All],3,FALSE)</f>
        <v>PLAY PROMPT</v>
      </c>
    </row>
    <row r="11" spans="1:5" s="93" customFormat="1" ht="30">
      <c r="A11" s="114">
        <v>4</v>
      </c>
      <c r="B11" s="110" t="s">
        <v>115</v>
      </c>
      <c r="C11" s="105" t="str">
        <f>VLOOKUP(Table25751950[[#This Row],[PEG]],Table1016[#All],2,FALSE)</f>
        <v>0110-1.wav Which would you like? You can say... reservations, payments &amp; statements, title &amp; ownership changes, or more options.</v>
      </c>
      <c r="D11" s="152">
        <v>110</v>
      </c>
      <c r="E11" s="122" t="str">
        <f>VLOOKUP(Table25751950[[#This Row],[PEG]],Table1016[#All],3,FALSE)</f>
        <v>MENU PROMPT</v>
      </c>
    </row>
    <row r="12" spans="1:5" s="93" customFormat="1">
      <c r="A12" s="114">
        <v>5</v>
      </c>
      <c r="B12" s="110" t="s">
        <v>124</v>
      </c>
      <c r="C12" s="151" t="s">
        <v>486</v>
      </c>
      <c r="D12" s="152"/>
      <c r="E12" s="122" t="e">
        <f>VLOOKUP(Table25751950[[#This Row],[PEG]],Table1016[#All],3,FALSE)</f>
        <v>#N/A</v>
      </c>
    </row>
    <row r="13" spans="1:5" s="93" customFormat="1" ht="30">
      <c r="A13" s="114">
        <v>6</v>
      </c>
      <c r="B13" s="110" t="s">
        <v>115</v>
      </c>
      <c r="C13" s="105" t="str">
        <f>VLOOKUP(Table25751950[[#This Row],[PEG]],Table1016[#All],2,FALSE)</f>
        <v>0300-1.wav You can say ownership changes, check status, make a payment, or help me with something else. Which would you like?</v>
      </c>
      <c r="D13" s="152">
        <v>300</v>
      </c>
      <c r="E13" s="122" t="str">
        <f>VLOOKUP(Table25751950[[#This Row],[PEG]],Table1016[#All],3,FALSE)</f>
        <v>MENU PROMPT</v>
      </c>
    </row>
    <row r="14" spans="1:5" s="93" customFormat="1">
      <c r="A14" s="114">
        <v>7</v>
      </c>
      <c r="B14" s="110" t="s">
        <v>124</v>
      </c>
      <c r="C14" s="151" t="s">
        <v>506</v>
      </c>
      <c r="D14" s="125"/>
      <c r="E14" s="122" t="e">
        <f>VLOOKUP(Table25751950[[#This Row],[PEG]],Table1016[#All],3,FALSE)</f>
        <v>#N/A</v>
      </c>
    </row>
    <row r="15" spans="1:5">
      <c r="A15" s="114">
        <v>8</v>
      </c>
      <c r="B15" s="110" t="s">
        <v>115</v>
      </c>
      <c r="C15" s="105" t="str">
        <f>VLOOKUP(Table25751950[[#This Row],[PEG]],Table1016[#All],2,FALSE)</f>
        <v>0200-1.wav To get started, what is your account number?</v>
      </c>
      <c r="D15" s="153">
        <v>200</v>
      </c>
      <c r="E15" s="122" t="str">
        <f>VLOOKUP(Table25751950[[#This Row],[PEG]],Table1016[#All],3,FALSE)</f>
        <v>MENU PROMPT</v>
      </c>
    </row>
    <row r="16" spans="1:5">
      <c r="A16" s="114">
        <v>9</v>
      </c>
      <c r="B16" s="110" t="s">
        <v>114</v>
      </c>
      <c r="C16" s="151" t="s">
        <v>515</v>
      </c>
      <c r="D16" s="112"/>
      <c r="E16" s="122" t="e">
        <f>VLOOKUP(Table25751950[[#This Row],[PEG]],Table1016[#All],3,FALSE)</f>
        <v>#N/A</v>
      </c>
    </row>
    <row r="17" spans="1:5">
      <c r="A17" s="114">
        <v>10</v>
      </c>
      <c r="B17" s="110" t="s">
        <v>115</v>
      </c>
      <c r="C17" s="105" t="str">
        <f>VLOOKUP(Table25751950[[#This Row],[PEG]],Table1016[#All],2,FALSE)</f>
        <v>0210-1.wav And the date of birth for the primary owner?</v>
      </c>
      <c r="D17" s="154">
        <v>210</v>
      </c>
      <c r="E17" s="122" t="str">
        <f>VLOOKUP(Table25751950[[#This Row],[PEG]],Table1016[#All],3,FALSE)</f>
        <v>MENU PROMPT</v>
      </c>
    </row>
    <row r="18" spans="1:5">
      <c r="A18" s="114">
        <v>11</v>
      </c>
      <c r="B18" s="110" t="s">
        <v>124</v>
      </c>
      <c r="C18" s="151" t="s">
        <v>524</v>
      </c>
      <c r="D18" s="113"/>
      <c r="E18" s="122" t="e">
        <f>VLOOKUP(Table25751950[[#This Row],[PEG]],Table1016[#All],3,FALSE)</f>
        <v>#N/A</v>
      </c>
    </row>
    <row r="19" spans="1:5" ht="45">
      <c r="A19" s="114">
        <v>12</v>
      </c>
      <c r="B19" s="110" t="s">
        <v>115</v>
      </c>
      <c r="C19" s="105" t="str">
        <f>VLOOKUP(Table25751950[[#This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54">
        <v>320</v>
      </c>
      <c r="E19" s="122" t="str">
        <f>VLOOKUP(Table25751950[[#This Row],[PEG]],Table1016[#All],3,FALSE)</f>
        <v>MENU PROMPT</v>
      </c>
    </row>
    <row r="20" spans="1:5">
      <c r="A20" s="114">
        <v>13</v>
      </c>
      <c r="B20" s="110" t="s">
        <v>124</v>
      </c>
      <c r="C20" s="151" t="s">
        <v>556</v>
      </c>
      <c r="D20" s="113"/>
      <c r="E20" s="122" t="e">
        <f>VLOOKUP(Table25751950[[#This Row],[PEG]],Table1016[#All],3,FALSE)</f>
        <v>#N/A</v>
      </c>
    </row>
    <row r="21" spans="1:5" ht="75">
      <c r="A21" s="114">
        <v>14</v>
      </c>
      <c r="B21" s="110" t="s">
        <v>115</v>
      </c>
      <c r="C21" s="105" t="str">
        <f>VLOOKUP(Table25751950[[#This Row],[PEG]],Table1016[#All],2,FALSE)</f>
        <v>Wyndham requires a $299 processing fee to update ownership and a new recorded deed from the county where you own the property. We recommend that you use a licensed professional to execute the document. In addition to the new recorded deed, please send the new owner's, first and last name, address, phone number, email address, date of birth, along with a copy of their government issued ID. Please send the information to 6277 Sea Harbor Drive, Orlando Florida 32821, attention, Ownership Change.</v>
      </c>
      <c r="D21" s="94" t="s">
        <v>233</v>
      </c>
      <c r="E21" s="122" t="str">
        <f>VLOOKUP(Table25751950[[#This Row],[PEG]],Table1016[#All],3,FALSE)</f>
        <v>PLAY PROMPT</v>
      </c>
    </row>
    <row r="22" spans="1:5" ht="30">
      <c r="A22" s="114">
        <v>15</v>
      </c>
      <c r="B22" s="110" t="s">
        <v>115</v>
      </c>
      <c r="C22" s="105" t="str">
        <f>VLOOKUP(Table25751950[[#This Row],[PEG]],Table1016[#All],2,FALSE)</f>
        <v>0330-1.wav To hear this information again, say repeat that. If you would like me to send you a letter with instructions to start the process, say information letter.</v>
      </c>
      <c r="D22" s="113">
        <v>330</v>
      </c>
      <c r="E22" s="122" t="str">
        <f>VLOOKUP(Table25751950[[#This Row],[PEG]],Table1016[#All],3,FALSE)</f>
        <v>MENU PROMPT</v>
      </c>
    </row>
    <row r="23" spans="1:5">
      <c r="A23" s="114">
        <v>16</v>
      </c>
      <c r="B23" s="110" t="s">
        <v>13</v>
      </c>
      <c r="C23" s="17" t="s">
        <v>13</v>
      </c>
      <c r="D23" s="111"/>
      <c r="E23" s="31"/>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6"/>
    </row>
    <row r="36" spans="3:3">
      <c r="C36" s="26"/>
    </row>
    <row r="37" spans="3:3">
      <c r="C37" s="26"/>
    </row>
  </sheetData>
  <mergeCells count="1">
    <mergeCell ref="A1:B1"/>
  </mergeCells>
  <conditionalFormatting sqref="C24:C9976">
    <cfRule type="expression" dxfId="3926" priority="61">
      <formula>$B24="Dial"</formula>
    </cfRule>
    <cfRule type="expression" dxfId="3925" priority="63">
      <formula>$B24="HANGUP"</formula>
    </cfRule>
  </conditionalFormatting>
  <conditionalFormatting sqref="B23">
    <cfRule type="containsText" dxfId="3924" priority="19" operator="containsText" text="Hear">
      <formula>NOT(ISERROR(SEARCH("Hear",B23)))</formula>
    </cfRule>
  </conditionalFormatting>
  <conditionalFormatting sqref="E23">
    <cfRule type="containsText" dxfId="3923" priority="27" operator="containsText" text="WEB SERVICE">
      <formula>NOT(ISERROR(SEARCH("WEB SERVICE",E23)))</formula>
    </cfRule>
    <cfRule type="containsText" dxfId="3922" priority="28" operator="containsText" text="DB">
      <formula>NOT(ISERROR(SEARCH("DB",E23)))</formula>
    </cfRule>
  </conditionalFormatting>
  <conditionalFormatting sqref="C23">
    <cfRule type="expression" dxfId="3921" priority="30">
      <formula>$B23="Dial"</formula>
    </cfRule>
    <cfRule type="expression" dxfId="3920" priority="32">
      <formula>$B23="HANGUP"</formula>
    </cfRule>
  </conditionalFormatting>
  <conditionalFormatting sqref="C23">
    <cfRule type="expression" dxfId="3919" priority="31">
      <formula>$B23="Speak"</formula>
    </cfRule>
  </conditionalFormatting>
  <conditionalFormatting sqref="B8">
    <cfRule type="containsText" dxfId="3918" priority="16" operator="containsText" text="Hear">
      <formula>NOT(ISERROR(SEARCH("Hear",B8)))</formula>
    </cfRule>
  </conditionalFormatting>
  <conditionalFormatting sqref="B20:B22">
    <cfRule type="containsText" dxfId="3917" priority="15" operator="containsText" text="Hear">
      <formula>NOT(ISERROR(SEARCH("Hear",B20)))</formula>
    </cfRule>
  </conditionalFormatting>
  <conditionalFormatting sqref="B18:B19">
    <cfRule type="containsText" dxfId="3916" priority="14" operator="containsText" text="Hear">
      <formula>NOT(ISERROR(SEARCH("Hear",B18)))</formula>
    </cfRule>
  </conditionalFormatting>
  <conditionalFormatting sqref="B9:B17">
    <cfRule type="containsText" dxfId="3915" priority="13" operator="containsText" text="Hear">
      <formula>NOT(ISERROR(SEARCH("Hear",B9)))</formula>
    </cfRule>
  </conditionalFormatting>
  <hyperlinks>
    <hyperlink ref="A1" location="'Test Case Overview'!A1" display="Return to Test Case Overview" xr:uid="{00000000-0004-0000-53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39" id="{2156DFF2-F00C-4E74-80CE-F5C54FB59B46}">
            <xm:f>'TC1'!$B8="Speak"</xm:f>
            <x14:dxf>
              <font>
                <b/>
                <i val="0"/>
                <color rgb="FFFF0000"/>
              </font>
            </x14:dxf>
          </x14:cfRule>
          <xm:sqref>C8</xm:sqref>
        </x14:conditionalFormatting>
        <x14:conditionalFormatting xmlns:xm="http://schemas.microsoft.com/office/excel/2006/main">
          <x14:cfRule type="expression" priority="23" id="{803D3E0D-C766-4AC9-A031-FEA2B6C4A911}">
            <xm:f>'TC1'!$B8="HANGUP"</xm:f>
            <x14:dxf>
              <font>
                <b/>
                <i val="0"/>
              </font>
            </x14:dxf>
          </x14:cfRule>
          <x14:cfRule type="expression" priority="24" id="{E0106B9B-69D2-4F40-B5CC-E951BE1683C6}">
            <xm:f>'TC1'!$B8="Dial"</xm:f>
            <x14:dxf>
              <font>
                <b/>
                <i val="0"/>
                <color rgb="FFFF0000"/>
              </font>
            </x14:dxf>
          </x14:cfRule>
          <xm:sqref>C8</xm:sqref>
        </x14:conditionalFormatting>
        <x14:conditionalFormatting xmlns:xm="http://schemas.microsoft.com/office/excel/2006/main">
          <x14:cfRule type="containsText" priority="22" operator="containsText" text="DB" id="{6E59CD9C-04F4-4C0C-9D59-B98792A035B2}">
            <xm:f>NOT(ISERROR(SEARCH("DB",'TC1'!E10)))</xm:f>
            <x14:dxf>
              <font>
                <color rgb="FF006100"/>
              </font>
              <fill>
                <patternFill>
                  <bgColor rgb="FFC6EFCE"/>
                </patternFill>
              </fill>
            </x14:dxf>
          </x14:cfRule>
          <x14:cfRule type="containsText" priority="26" operator="containsText" text="WEB SERVICE" id="{10147D17-0CCE-4678-ACFF-0A93627C9D03}">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941" id="{2156DFF2-F00C-4E74-80CE-F5C54FB59B46}">
            <xm:f>'TC1'!#REF!="Speak"</xm:f>
            <x14:dxf>
              <font>
                <b/>
                <i val="0"/>
                <color rgb="FFFF0000"/>
              </font>
            </x14:dxf>
          </x14:cfRule>
          <xm:sqref>C13 C15 C17 C19:C22</xm:sqref>
        </x14:conditionalFormatting>
        <x14:conditionalFormatting xmlns:xm="http://schemas.microsoft.com/office/excel/2006/main">
          <x14:cfRule type="expression" priority="1947" id="{803D3E0D-C766-4AC9-A031-FEA2B6C4A911}">
            <xm:f>'TC1'!#REF!="HANGUP"</xm:f>
            <x14:dxf>
              <font>
                <b/>
                <i val="0"/>
              </font>
            </x14:dxf>
          </x14:cfRule>
          <x14:cfRule type="expression" priority="1948" id="{E0106B9B-69D2-4F40-B5CC-E951BE1683C6}">
            <xm:f>'TC1'!#REF!="Dial"</xm:f>
            <x14:dxf>
              <font>
                <b/>
                <i val="0"/>
                <color rgb="FFFF0000"/>
              </font>
            </x14:dxf>
          </x14:cfRule>
          <xm:sqref>C13 C15 C17 C19:C22</xm:sqref>
        </x14:conditionalFormatting>
        <x14:conditionalFormatting xmlns:xm="http://schemas.microsoft.com/office/excel/2006/main">
          <x14:cfRule type="containsText" priority="1955" operator="containsText" text="DB" id="{6E59CD9C-04F4-4C0C-9D59-B98792A035B2}">
            <xm:f>NOT(ISERROR(SEARCH("DB",'TC1'!#REF!)))</xm:f>
            <x14:dxf>
              <font>
                <color rgb="FF006100"/>
              </font>
              <fill>
                <patternFill>
                  <bgColor rgb="FFC6EFCE"/>
                </patternFill>
              </fill>
            </x14:dxf>
          </x14:cfRule>
          <x14:cfRule type="containsText" priority="1956" operator="containsText" text="WEB SERVICE" id="{10147D17-0CCE-4678-ACFF-0A93627C9D03}">
            <xm:f>NOT(ISERROR(SEARCH("WEB SERVICE",'TC1'!#REF!)))</xm:f>
            <x14:dxf>
              <font>
                <color rgb="FF9C0006"/>
              </font>
              <fill>
                <patternFill>
                  <bgColor rgb="FFFFC7CE"/>
                </patternFill>
              </fill>
            </x14:dxf>
          </x14:cfRule>
          <xm:sqref>E13:E22</xm:sqref>
        </x14:conditionalFormatting>
        <x14:conditionalFormatting xmlns:xm="http://schemas.microsoft.com/office/excel/2006/main">
          <x14:cfRule type="expression" priority="4036" id="{2156DFF2-F00C-4E74-80CE-F5C54FB59B46}">
            <xm:f>'TC1'!$B10="Speak"</xm:f>
            <x14:dxf>
              <font>
                <b/>
                <i val="0"/>
                <color rgb="FFFF0000"/>
              </font>
            </x14:dxf>
          </x14:cfRule>
          <xm:sqref>C9:C11</xm:sqref>
        </x14:conditionalFormatting>
        <x14:conditionalFormatting xmlns:xm="http://schemas.microsoft.com/office/excel/2006/main">
          <x14:cfRule type="expression" priority="4039" id="{803D3E0D-C766-4AC9-A031-FEA2B6C4A911}">
            <xm:f>'TC1'!$B10="HANGUP"</xm:f>
            <x14:dxf>
              <font>
                <b/>
                <i val="0"/>
              </font>
            </x14:dxf>
          </x14:cfRule>
          <x14:cfRule type="expression" priority="4040" id="{E0106B9B-69D2-4F40-B5CC-E951BE1683C6}">
            <xm:f>'TC1'!$B10="Dial"</xm:f>
            <x14:dxf>
              <font>
                <b/>
                <i val="0"/>
                <color rgb="FFFF0000"/>
              </font>
            </x14:dxf>
          </x14:cfRule>
          <xm:sqref>C9:C11</xm:sqref>
        </x14:conditionalFormatting>
        <x14:conditionalFormatting xmlns:xm="http://schemas.microsoft.com/office/excel/2006/main">
          <x14:cfRule type="expression" priority="10" id="{2D21FC0E-A43E-43CD-A338-D3D08A860464}">
            <xm:f>'TC1'!#REF!="HANGUP"</xm:f>
            <x14:dxf>
              <font>
                <b/>
                <i val="0"/>
              </font>
            </x14:dxf>
          </x14:cfRule>
          <x14:cfRule type="expression" priority="11" id="{D4CD5FDA-18A6-4219-BCDB-FA8CF8D6DCFC}">
            <xm:f>'TC1'!#REF!="Dial"</xm:f>
            <x14:dxf>
              <font>
                <b/>
                <i val="0"/>
                <color rgb="FFFF0000"/>
              </font>
            </x14:dxf>
          </x14:cfRule>
          <xm:sqref>C12</xm:sqref>
        </x14:conditionalFormatting>
        <x14:conditionalFormatting xmlns:xm="http://schemas.microsoft.com/office/excel/2006/main">
          <x14:cfRule type="expression" priority="12" id="{985B3C23-BF4C-490E-9906-6E731B19D545}">
            <xm:f>'TC1'!#REF!="Speak"</xm:f>
            <x14:dxf>
              <font>
                <b/>
                <i val="0"/>
                <color rgb="FFFF0000"/>
              </font>
            </x14:dxf>
          </x14:cfRule>
          <xm:sqref>C12</xm:sqref>
        </x14:conditionalFormatting>
        <x14:conditionalFormatting xmlns:xm="http://schemas.microsoft.com/office/excel/2006/main">
          <x14:cfRule type="expression" priority="7" id="{6888A01A-716F-45FF-B265-0088C30AD7D2}">
            <xm:f>'TC1'!#REF!="HANGUP"</xm:f>
            <x14:dxf>
              <font>
                <b/>
                <i val="0"/>
              </font>
            </x14:dxf>
          </x14:cfRule>
          <x14:cfRule type="expression" priority="8" id="{3431D453-343E-4062-8460-97141CBFC049}">
            <xm:f>'TC1'!#REF!="Dial"</xm:f>
            <x14:dxf>
              <font>
                <b/>
                <i val="0"/>
                <color rgb="FFFF0000"/>
              </font>
            </x14:dxf>
          </x14:cfRule>
          <xm:sqref>C14</xm:sqref>
        </x14:conditionalFormatting>
        <x14:conditionalFormatting xmlns:xm="http://schemas.microsoft.com/office/excel/2006/main">
          <x14:cfRule type="expression" priority="9" id="{25D656DD-8B78-4BB0-87CA-55202FBC76FA}">
            <xm:f>'TC1'!#REF!="Speak"</xm:f>
            <x14:dxf>
              <font>
                <b/>
                <i val="0"/>
                <color rgb="FFFF0000"/>
              </font>
            </x14:dxf>
          </x14:cfRule>
          <xm:sqref>C14</xm:sqref>
        </x14:conditionalFormatting>
        <x14:conditionalFormatting xmlns:xm="http://schemas.microsoft.com/office/excel/2006/main">
          <x14:cfRule type="expression" priority="4" id="{FD36E546-C953-4EB5-B69A-34477A6CEFD1}">
            <xm:f>'TC1'!#REF!="HANGUP"</xm:f>
            <x14:dxf>
              <font>
                <b/>
                <i val="0"/>
              </font>
            </x14:dxf>
          </x14:cfRule>
          <x14:cfRule type="expression" priority="5" id="{D3A6FD1A-0D93-4459-804A-8D781AF42737}">
            <xm:f>'TC1'!#REF!="Dial"</xm:f>
            <x14:dxf>
              <font>
                <b/>
                <i val="0"/>
                <color rgb="FFFF0000"/>
              </font>
            </x14:dxf>
          </x14:cfRule>
          <xm:sqref>C16</xm:sqref>
        </x14:conditionalFormatting>
        <x14:conditionalFormatting xmlns:xm="http://schemas.microsoft.com/office/excel/2006/main">
          <x14:cfRule type="expression" priority="6" id="{8523B7F2-A76C-4B16-ABFF-87FAD994B8A5}">
            <xm:f>'TC1'!#REF!="Speak"</xm:f>
            <x14:dxf>
              <font>
                <b/>
                <i val="0"/>
                <color rgb="FFFF0000"/>
              </font>
            </x14:dxf>
          </x14:cfRule>
          <xm:sqref>C16</xm:sqref>
        </x14:conditionalFormatting>
        <x14:conditionalFormatting xmlns:xm="http://schemas.microsoft.com/office/excel/2006/main">
          <x14:cfRule type="expression" priority="1" id="{8ECC6652-E32D-4AD4-8A41-6FDEC77F66A2}">
            <xm:f>'TC1'!#REF!="HANGUP"</xm:f>
            <x14:dxf>
              <font>
                <b/>
                <i val="0"/>
              </font>
            </x14:dxf>
          </x14:cfRule>
          <x14:cfRule type="expression" priority="2" id="{C6F92703-EEA6-4DA7-8926-31F87192091C}">
            <xm:f>'TC1'!#REF!="Dial"</xm:f>
            <x14:dxf>
              <font>
                <b/>
                <i val="0"/>
                <color rgb="FFFF0000"/>
              </font>
            </x14:dxf>
          </x14:cfRule>
          <xm:sqref>C18</xm:sqref>
        </x14:conditionalFormatting>
        <x14:conditionalFormatting xmlns:xm="http://schemas.microsoft.com/office/excel/2006/main">
          <x14:cfRule type="expression" priority="3" id="{70B22752-4FE3-4D44-9934-78F569501ED1}">
            <xm:f>'TC1'!#REF!="Speak"</xm:f>
            <x14:dxf>
              <font>
                <b/>
                <i val="0"/>
                <color rgb="FFFF0000"/>
              </font>
            </x14:dxf>
          </x14:cfRule>
          <xm:sqref>C18</xm:sqref>
        </x14:conditionalFormatting>
      </x14:conditionalFormattings>
    </ext>
  </extLst>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6"/>
  <dimension ref="A1:E42"/>
  <sheetViews>
    <sheetView zoomScaleNormal="100" workbookViewId="0">
      <selection activeCell="C31" sqref="C31"/>
    </sheetView>
  </sheetViews>
  <sheetFormatPr defaultRowHeight="15"/>
  <cols>
    <col min="1" max="1" width="14.42578125" style="41" bestFit="1" customWidth="1"/>
    <col min="2" max="2" width="42.7109375" style="41" customWidth="1"/>
    <col min="3" max="3" width="106.28515625" style="21" customWidth="1"/>
    <col min="4" max="4" width="21.7109375" style="32" bestFit="1" customWidth="1"/>
    <col min="5" max="5" width="20.7109375" style="41" customWidth="1"/>
  </cols>
  <sheetData>
    <row r="1" spans="1:5" ht="18.75">
      <c r="A1" s="197" t="s">
        <v>4</v>
      </c>
      <c r="B1" s="197"/>
      <c r="C1" s="18"/>
    </row>
    <row r="2" spans="1:5">
      <c r="A2" s="19" t="s">
        <v>5</v>
      </c>
      <c r="B2" s="20" t="str">
        <f ca="1">MID(CELL("filename",A1),FIND("]",CELL("filename",A1))+1,LEN(CELL("filename",A1))-FIND("]",CELL("filename",A1)))</f>
        <v>TC84</v>
      </c>
    </row>
    <row r="3" spans="1:5">
      <c r="A3" s="22" t="s">
        <v>19</v>
      </c>
      <c r="B3" s="23">
        <f ca="1">VLOOKUP(B2,Table53[#All],2,FALSE)</f>
        <v>0</v>
      </c>
    </row>
    <row r="4" spans="1:5" ht="45">
      <c r="A4" s="38" t="s">
        <v>20</v>
      </c>
      <c r="B4" s="37" t="str">
        <f ca="1">VLOOKUP(B2,Table53[#All],4,FALSE)</f>
        <v>svcArea=titleSvcs, serviceType=chgOwner, Not in progress or complete &lt;90days. 325-V-DF-A</v>
      </c>
      <c r="C4" s="21" t="s">
        <v>235</v>
      </c>
    </row>
    <row r="5" spans="1:5" ht="60">
      <c r="A5" s="22" t="s">
        <v>6</v>
      </c>
      <c r="B5" s="75" t="str">
        <f ca="1">VLOOKUP(B2,Table53[#All],3,FALSE)</f>
        <v>CallStart Main Menu /Title /Ownership changes/ID Auth=True/ add owner at ChangeMenu/HU after hearing peg 0330 hear again</v>
      </c>
    </row>
    <row r="7" spans="1:5" ht="15.75">
      <c r="A7" s="96" t="s">
        <v>7</v>
      </c>
      <c r="B7" s="97" t="s">
        <v>8</v>
      </c>
      <c r="C7" s="98" t="s">
        <v>9</v>
      </c>
      <c r="D7" s="98" t="s">
        <v>14</v>
      </c>
      <c r="E7" s="99" t="s">
        <v>10</v>
      </c>
    </row>
    <row r="8" spans="1:5" s="93" customFormat="1">
      <c r="A8" s="114">
        <v>1</v>
      </c>
      <c r="B8" s="110" t="s">
        <v>114</v>
      </c>
      <c r="C8" s="105" t="s">
        <v>125</v>
      </c>
      <c r="D8" s="125"/>
      <c r="E8" s="122" t="s">
        <v>11</v>
      </c>
    </row>
    <row r="9" spans="1:5" s="93" customFormat="1">
      <c r="A9" s="114">
        <v>2</v>
      </c>
      <c r="B9" s="110" t="s">
        <v>115</v>
      </c>
      <c r="C9" s="105" t="str">
        <f>VLOOKUP(Table25751952[[#This Row],[PEG]],Table1016[#All],2,FALSE)</f>
        <v>CallID.wav Call ID &lt;CallID&gt;</v>
      </c>
      <c r="D9" s="152" t="s">
        <v>477</v>
      </c>
      <c r="E9" s="122" t="str">
        <f>VLOOKUP(Table25751952[[#This Row],[PEG]],Table1016[#All],3,FALSE)</f>
        <v>TEST</v>
      </c>
    </row>
    <row r="10" spans="1:5" s="93" customFormat="1" ht="30">
      <c r="A10" s="114">
        <v>3</v>
      </c>
      <c r="B10" s="110" t="s">
        <v>115</v>
      </c>
      <c r="C10" s="105" t="str">
        <f>VLOOKUP(Table25751952[[#This Row],[PEG]],Table1016[#All],2,FALSE)</f>
        <v>0100.wav Thank you for calling Shell vacations Club, we are glad you called. Please have your account number available for faster service. [To continue in Spanish, press 9]</v>
      </c>
      <c r="D10" s="152">
        <v>100</v>
      </c>
      <c r="E10" s="122" t="str">
        <f>VLOOKUP(Table25751952[[#This Row],[PEG]],Table1016[#All],3,FALSE)</f>
        <v>PLAY PROMPT</v>
      </c>
    </row>
    <row r="11" spans="1:5" s="93" customFormat="1" ht="30">
      <c r="A11" s="114">
        <v>4</v>
      </c>
      <c r="B11" s="110" t="s">
        <v>115</v>
      </c>
      <c r="C11" s="105" t="str">
        <f>VLOOKUP(Table25751952[[#This Row],[PEG]],Table1016[#All],2,FALSE)</f>
        <v>0110-1.wav Which would you like? You can say... reservations, payments &amp; statements, title &amp; ownership changes, or more options.</v>
      </c>
      <c r="D11" s="152">
        <v>110</v>
      </c>
      <c r="E11" s="122" t="str">
        <f>VLOOKUP(Table25751952[[#This Row],[PEG]],Table1016[#All],3,FALSE)</f>
        <v>MENU PROMPT</v>
      </c>
    </row>
    <row r="12" spans="1:5" s="93" customFormat="1">
      <c r="A12" s="114">
        <v>5</v>
      </c>
      <c r="B12" s="110" t="s">
        <v>124</v>
      </c>
      <c r="C12" s="151" t="s">
        <v>486</v>
      </c>
      <c r="D12" s="152"/>
      <c r="E12" s="122" t="e">
        <f>VLOOKUP(Table25751952[[#This Row],[PEG]],Table1016[#All],3,FALSE)</f>
        <v>#N/A</v>
      </c>
    </row>
    <row r="13" spans="1:5" s="93" customFormat="1" ht="30">
      <c r="A13" s="114">
        <v>6</v>
      </c>
      <c r="B13" s="110" t="s">
        <v>115</v>
      </c>
      <c r="C13" s="105" t="str">
        <f>VLOOKUP(Table25751952[[#This Row],[PEG]],Table1016[#All],2,FALSE)</f>
        <v>0300-1.wav You can say ownership changes, check status, make a payment, or help me with something else. Which would you like?</v>
      </c>
      <c r="D13" s="152">
        <v>300</v>
      </c>
      <c r="E13" s="122" t="str">
        <f>VLOOKUP(Table25751952[[#This Row],[PEG]],Table1016[#All],3,FALSE)</f>
        <v>MENU PROMPT</v>
      </c>
    </row>
    <row r="14" spans="1:5" s="93" customFormat="1">
      <c r="A14" s="114">
        <v>7</v>
      </c>
      <c r="B14" s="110" t="s">
        <v>124</v>
      </c>
      <c r="C14" s="151" t="s">
        <v>533</v>
      </c>
      <c r="D14" s="125"/>
      <c r="E14" s="122" t="e">
        <f>VLOOKUP(Table25751952[[#This Row],[PEG]],Table1016[#All],3,FALSE)</f>
        <v>#N/A</v>
      </c>
    </row>
    <row r="15" spans="1:5">
      <c r="A15" s="114">
        <v>8</v>
      </c>
      <c r="B15" s="110" t="s">
        <v>115</v>
      </c>
      <c r="C15" s="105" t="str">
        <f>VLOOKUP(Table25751952[[#This Row],[PEG]],Table1016[#All],2,FALSE)</f>
        <v>0200-1.wav To get started, what is your account number?</v>
      </c>
      <c r="D15" s="153">
        <v>200</v>
      </c>
      <c r="E15" s="122" t="str">
        <f>VLOOKUP(Table25751952[[#This Row],[PEG]],Table1016[#All],3,FALSE)</f>
        <v>MENU PROMPT</v>
      </c>
    </row>
    <row r="16" spans="1:5">
      <c r="A16" s="114">
        <v>9</v>
      </c>
      <c r="B16" s="110" t="s">
        <v>114</v>
      </c>
      <c r="C16" s="151" t="s">
        <v>515</v>
      </c>
      <c r="D16" s="112"/>
      <c r="E16" s="122" t="e">
        <f>VLOOKUP(Table25751952[[#This Row],[PEG]],Table1016[#All],3,FALSE)</f>
        <v>#N/A</v>
      </c>
    </row>
    <row r="17" spans="1:5">
      <c r="A17" s="114">
        <v>10</v>
      </c>
      <c r="B17" s="110" t="s">
        <v>115</v>
      </c>
      <c r="C17" s="105" t="str">
        <f>VLOOKUP(Table25751952[[#This Row],[PEG]],Table1016[#All],2,FALSE)</f>
        <v>0210-1.wav And the date of birth for the primary owner?</v>
      </c>
      <c r="D17" s="154">
        <v>210</v>
      </c>
      <c r="E17" s="122" t="str">
        <f>VLOOKUP(Table25751952[[#This Row],[PEG]],Table1016[#All],3,FALSE)</f>
        <v>MENU PROMPT</v>
      </c>
    </row>
    <row r="18" spans="1:5">
      <c r="A18" s="114">
        <v>11</v>
      </c>
      <c r="B18" s="110" t="s">
        <v>124</v>
      </c>
      <c r="C18" s="151" t="s">
        <v>524</v>
      </c>
      <c r="D18" s="113"/>
      <c r="E18" s="122" t="e">
        <f>VLOOKUP(Table25751952[[#This Row],[PEG]],Table1016[#All],3,FALSE)</f>
        <v>#N/A</v>
      </c>
    </row>
    <row r="19" spans="1:5" ht="45">
      <c r="A19" s="114">
        <v>12</v>
      </c>
      <c r="B19" s="110" t="s">
        <v>115</v>
      </c>
      <c r="C19" s="105" t="str">
        <f>VLOOKUP(Table25751952[[#This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54">
        <v>320</v>
      </c>
      <c r="E19" s="122" t="str">
        <f>VLOOKUP(Table25751952[[#This Row],[PEG]],Table1016[#All],3,FALSE)</f>
        <v>MENU PROMPT</v>
      </c>
    </row>
    <row r="20" spans="1:5">
      <c r="A20" s="114">
        <v>13</v>
      </c>
      <c r="B20" s="110" t="s">
        <v>124</v>
      </c>
      <c r="C20" s="151" t="s">
        <v>556</v>
      </c>
      <c r="D20" s="113"/>
      <c r="E20" s="122" t="e">
        <f>VLOOKUP(Table25751952[[#This Row],[PEG]],Table1016[#All],3,FALSE)</f>
        <v>#N/A</v>
      </c>
    </row>
    <row r="21" spans="1:5" ht="75">
      <c r="A21" s="114">
        <v>14</v>
      </c>
      <c r="B21" s="110" t="s">
        <v>115</v>
      </c>
      <c r="C21" s="105" t="str">
        <f>VLOOKUP(Table25751952[[#This Row],[PEG]],Table1016[#All],2,FALSE)</f>
        <v>Wyndham requires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Ownership Change.</v>
      </c>
      <c r="D21" s="94" t="s">
        <v>235</v>
      </c>
      <c r="E21" s="122" t="str">
        <f>VLOOKUP(Table25751952[[#This Row],[PEG]],Table1016[#All],3,FALSE)</f>
        <v>PLAY PROMPT</v>
      </c>
    </row>
    <row r="22" spans="1:5" ht="30">
      <c r="A22" s="114">
        <v>15</v>
      </c>
      <c r="B22" s="110" t="s">
        <v>115</v>
      </c>
      <c r="C22" s="105" t="str">
        <f>VLOOKUP(Table25751952[[#This Row],[PEG]],Table1016[#All],2,FALSE)</f>
        <v>0330-1.wav To hear this information again, say repeat that. If you would like me to send you a letter with instructions to start the process, say information letter.</v>
      </c>
      <c r="D22" s="154">
        <v>330</v>
      </c>
      <c r="E22" s="122" t="str">
        <f>VLOOKUP(Table25751952[[#This Row],[PEG]],Table1016[#All],3,FALSE)</f>
        <v>MENU PROMPT</v>
      </c>
    </row>
    <row r="23" spans="1:5">
      <c r="A23" s="114">
        <v>16</v>
      </c>
      <c r="B23" s="110" t="s">
        <v>124</v>
      </c>
      <c r="C23" s="151" t="s">
        <v>516</v>
      </c>
      <c r="D23" s="113"/>
      <c r="E23" s="122" t="e">
        <f>VLOOKUP(Table25751952[[#This Row],[PEG]],Table1016[#All],3,FALSE)</f>
        <v>#N/A</v>
      </c>
    </row>
    <row r="24" spans="1:5" ht="75">
      <c r="A24" s="114">
        <v>17</v>
      </c>
      <c r="B24" s="110" t="s">
        <v>115</v>
      </c>
      <c r="C24" s="105" t="str">
        <f>VLOOKUP(Table25751952[[#This Row],[PEG]],Table1016[#All],2,FALSE)</f>
        <v>Wyndham requires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Ownership Change.</v>
      </c>
      <c r="D24" s="94" t="s">
        <v>235</v>
      </c>
      <c r="E24" s="122" t="str">
        <f>VLOOKUP(Table25751952[[#This Row],[PEG]],Table1016[#All],3,FALSE)</f>
        <v>PLAY PROMPT</v>
      </c>
    </row>
    <row r="25" spans="1:5">
      <c r="A25" s="114">
        <v>18</v>
      </c>
      <c r="B25" s="110" t="s">
        <v>13</v>
      </c>
      <c r="C25" s="17" t="s">
        <v>13</v>
      </c>
      <c r="D25" s="111"/>
      <c r="E25" s="31"/>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5"/>
    </row>
    <row r="39" spans="3:3">
      <c r="C39" s="25"/>
    </row>
    <row r="40" spans="3:3">
      <c r="C40" s="26"/>
    </row>
    <row r="41" spans="3:3">
      <c r="C41" s="26"/>
    </row>
    <row r="42" spans="3:3">
      <c r="C42" s="26"/>
    </row>
  </sheetData>
  <mergeCells count="1">
    <mergeCell ref="A1:B1"/>
  </mergeCells>
  <conditionalFormatting sqref="C26:C9981">
    <cfRule type="expression" dxfId="3880" priority="61">
      <formula>$B26="Dial"</formula>
    </cfRule>
    <cfRule type="expression" dxfId="3879" priority="63">
      <formula>$B26="HANGUP"</formula>
    </cfRule>
  </conditionalFormatting>
  <conditionalFormatting sqref="B25">
    <cfRule type="containsText" dxfId="3878" priority="19" operator="containsText" text="Hear">
      <formula>NOT(ISERROR(SEARCH("Hear",B25)))</formula>
    </cfRule>
  </conditionalFormatting>
  <conditionalFormatting sqref="E25">
    <cfRule type="containsText" dxfId="3877" priority="27" operator="containsText" text="WEB SERVICE">
      <formula>NOT(ISERROR(SEARCH("WEB SERVICE",E25)))</formula>
    </cfRule>
    <cfRule type="containsText" dxfId="3876" priority="28" operator="containsText" text="DB">
      <formula>NOT(ISERROR(SEARCH("DB",E25)))</formula>
    </cfRule>
  </conditionalFormatting>
  <conditionalFormatting sqref="C25">
    <cfRule type="expression" dxfId="3875" priority="30">
      <formula>$B25="Dial"</formula>
    </cfRule>
    <cfRule type="expression" dxfId="3874" priority="32">
      <formula>$B25="HANGUP"</formula>
    </cfRule>
  </conditionalFormatting>
  <conditionalFormatting sqref="C25">
    <cfRule type="expression" dxfId="3873" priority="31">
      <formula>$B25="Speak"</formula>
    </cfRule>
  </conditionalFormatting>
  <conditionalFormatting sqref="B8">
    <cfRule type="containsText" dxfId="3872" priority="16" operator="containsText" text="Hear">
      <formula>NOT(ISERROR(SEARCH("Hear",B8)))</formula>
    </cfRule>
  </conditionalFormatting>
  <conditionalFormatting sqref="B20:B24">
    <cfRule type="containsText" dxfId="3871" priority="15" operator="containsText" text="Hear">
      <formula>NOT(ISERROR(SEARCH("Hear",B20)))</formula>
    </cfRule>
  </conditionalFormatting>
  <conditionalFormatting sqref="B18:B19">
    <cfRule type="containsText" dxfId="3870" priority="14" operator="containsText" text="Hear">
      <formula>NOT(ISERROR(SEARCH("Hear",B18)))</formula>
    </cfRule>
  </conditionalFormatting>
  <conditionalFormatting sqref="B9:B17">
    <cfRule type="containsText" dxfId="3869" priority="13" operator="containsText" text="Hear">
      <formula>NOT(ISERROR(SEARCH("Hear",B9)))</formula>
    </cfRule>
  </conditionalFormatting>
  <hyperlinks>
    <hyperlink ref="A1" location="'Test Case Overview'!A1" display="Return to Test Case Overview" xr:uid="{00000000-0004-0000-54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39" id="{930DE327-52AF-48BC-BD9A-A20462AE8CDC}">
            <xm:f>'TC1'!$B8="Speak"</xm:f>
            <x14:dxf>
              <font>
                <b/>
                <i val="0"/>
                <color rgb="FFFF0000"/>
              </font>
            </x14:dxf>
          </x14:cfRule>
          <xm:sqref>C8</xm:sqref>
        </x14:conditionalFormatting>
        <x14:conditionalFormatting xmlns:xm="http://schemas.microsoft.com/office/excel/2006/main">
          <x14:cfRule type="expression" priority="23" id="{D0ED3AB8-6FD2-4C8F-9A72-1C4988B4E69D}">
            <xm:f>'TC1'!$B8="HANGUP"</xm:f>
            <x14:dxf>
              <font>
                <b/>
                <i val="0"/>
              </font>
            </x14:dxf>
          </x14:cfRule>
          <x14:cfRule type="expression" priority="24" id="{DDA0359C-DEEC-42FD-B2CB-13CBA0D00970}">
            <xm:f>'TC1'!$B8="Dial"</xm:f>
            <x14:dxf>
              <font>
                <b/>
                <i val="0"/>
                <color rgb="FFFF0000"/>
              </font>
            </x14:dxf>
          </x14:cfRule>
          <xm:sqref>C8</xm:sqref>
        </x14:conditionalFormatting>
        <x14:conditionalFormatting xmlns:xm="http://schemas.microsoft.com/office/excel/2006/main">
          <x14:cfRule type="containsText" priority="22" operator="containsText" text="DB" id="{8AB2E107-AC60-4EA6-A549-677115EED9A6}">
            <xm:f>NOT(ISERROR(SEARCH("DB",'TC1'!E10)))</xm:f>
            <x14:dxf>
              <font>
                <color rgb="FF006100"/>
              </font>
              <fill>
                <patternFill>
                  <bgColor rgb="FFC6EFCE"/>
                </patternFill>
              </fill>
            </x14:dxf>
          </x14:cfRule>
          <x14:cfRule type="containsText" priority="26" operator="containsText" text="WEB SERVICE" id="{4ACB69C5-1DF9-40D5-94A4-152B82022D5F}">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961" id="{930DE327-52AF-48BC-BD9A-A20462AE8CDC}">
            <xm:f>'TC1'!#REF!="Speak"</xm:f>
            <x14:dxf>
              <font>
                <b/>
                <i val="0"/>
                <color rgb="FFFF0000"/>
              </font>
            </x14:dxf>
          </x14:cfRule>
          <xm:sqref>C13 C15 C17 C19:C24</xm:sqref>
        </x14:conditionalFormatting>
        <x14:conditionalFormatting xmlns:xm="http://schemas.microsoft.com/office/excel/2006/main">
          <x14:cfRule type="expression" priority="1967" id="{D0ED3AB8-6FD2-4C8F-9A72-1C4988B4E69D}">
            <xm:f>'TC1'!#REF!="HANGUP"</xm:f>
            <x14:dxf>
              <font>
                <b/>
                <i val="0"/>
              </font>
            </x14:dxf>
          </x14:cfRule>
          <x14:cfRule type="expression" priority="1968" id="{DDA0359C-DEEC-42FD-B2CB-13CBA0D00970}">
            <xm:f>'TC1'!#REF!="Dial"</xm:f>
            <x14:dxf>
              <font>
                <b/>
                <i val="0"/>
                <color rgb="FFFF0000"/>
              </font>
            </x14:dxf>
          </x14:cfRule>
          <xm:sqref>C13 C15 C17 C19:C24</xm:sqref>
        </x14:conditionalFormatting>
        <x14:conditionalFormatting xmlns:xm="http://schemas.microsoft.com/office/excel/2006/main">
          <x14:cfRule type="containsText" priority="1975" operator="containsText" text="DB" id="{8AB2E107-AC60-4EA6-A549-677115EED9A6}">
            <xm:f>NOT(ISERROR(SEARCH("DB",'TC1'!#REF!)))</xm:f>
            <x14:dxf>
              <font>
                <color rgb="FF006100"/>
              </font>
              <fill>
                <patternFill>
                  <bgColor rgb="FFC6EFCE"/>
                </patternFill>
              </fill>
            </x14:dxf>
          </x14:cfRule>
          <x14:cfRule type="containsText" priority="1976" operator="containsText" text="WEB SERVICE" id="{4ACB69C5-1DF9-40D5-94A4-152B82022D5F}">
            <xm:f>NOT(ISERROR(SEARCH("WEB SERVICE",'TC1'!#REF!)))</xm:f>
            <x14:dxf>
              <font>
                <color rgb="FF9C0006"/>
              </font>
              <fill>
                <patternFill>
                  <bgColor rgb="FFFFC7CE"/>
                </patternFill>
              </fill>
            </x14:dxf>
          </x14:cfRule>
          <xm:sqref>E13:E24</xm:sqref>
        </x14:conditionalFormatting>
        <x14:conditionalFormatting xmlns:xm="http://schemas.microsoft.com/office/excel/2006/main">
          <x14:cfRule type="expression" priority="4044" id="{930DE327-52AF-48BC-BD9A-A20462AE8CDC}">
            <xm:f>'TC1'!$B10="Speak"</xm:f>
            <x14:dxf>
              <font>
                <b/>
                <i val="0"/>
                <color rgb="FFFF0000"/>
              </font>
            </x14:dxf>
          </x14:cfRule>
          <xm:sqref>C9:C11</xm:sqref>
        </x14:conditionalFormatting>
        <x14:conditionalFormatting xmlns:xm="http://schemas.microsoft.com/office/excel/2006/main">
          <x14:cfRule type="expression" priority="4047" id="{D0ED3AB8-6FD2-4C8F-9A72-1C4988B4E69D}">
            <xm:f>'TC1'!$B10="HANGUP"</xm:f>
            <x14:dxf>
              <font>
                <b/>
                <i val="0"/>
              </font>
            </x14:dxf>
          </x14:cfRule>
          <x14:cfRule type="expression" priority="4048" id="{DDA0359C-DEEC-42FD-B2CB-13CBA0D00970}">
            <xm:f>'TC1'!$B10="Dial"</xm:f>
            <x14:dxf>
              <font>
                <b/>
                <i val="0"/>
                <color rgb="FFFF0000"/>
              </font>
            </x14:dxf>
          </x14:cfRule>
          <xm:sqref>C9:C11</xm:sqref>
        </x14:conditionalFormatting>
        <x14:conditionalFormatting xmlns:xm="http://schemas.microsoft.com/office/excel/2006/main">
          <x14:cfRule type="expression" priority="10" id="{CE81360A-97AB-44F1-AB5C-CB380DECE2B0}">
            <xm:f>'TC1'!#REF!="HANGUP"</xm:f>
            <x14:dxf>
              <font>
                <b/>
                <i val="0"/>
              </font>
            </x14:dxf>
          </x14:cfRule>
          <x14:cfRule type="expression" priority="11" id="{D08286AC-4E45-4CC1-BD73-E899C375451A}">
            <xm:f>'TC1'!#REF!="Dial"</xm:f>
            <x14:dxf>
              <font>
                <b/>
                <i val="0"/>
                <color rgb="FFFF0000"/>
              </font>
            </x14:dxf>
          </x14:cfRule>
          <xm:sqref>C12</xm:sqref>
        </x14:conditionalFormatting>
        <x14:conditionalFormatting xmlns:xm="http://schemas.microsoft.com/office/excel/2006/main">
          <x14:cfRule type="expression" priority="12" id="{9FA48337-3B8E-4B96-A539-2463AC3D668B}">
            <xm:f>'TC1'!#REF!="Speak"</xm:f>
            <x14:dxf>
              <font>
                <b/>
                <i val="0"/>
                <color rgb="FFFF0000"/>
              </font>
            </x14:dxf>
          </x14:cfRule>
          <xm:sqref>C12</xm:sqref>
        </x14:conditionalFormatting>
        <x14:conditionalFormatting xmlns:xm="http://schemas.microsoft.com/office/excel/2006/main">
          <x14:cfRule type="expression" priority="7" id="{342D16DA-F4BA-4320-A374-DC11908FC33F}">
            <xm:f>'TC1'!#REF!="HANGUP"</xm:f>
            <x14:dxf>
              <font>
                <b/>
                <i val="0"/>
              </font>
            </x14:dxf>
          </x14:cfRule>
          <x14:cfRule type="expression" priority="8" id="{510E4D5E-AC8F-46EC-97A9-35E280B6606B}">
            <xm:f>'TC1'!#REF!="Dial"</xm:f>
            <x14:dxf>
              <font>
                <b/>
                <i val="0"/>
                <color rgb="FFFF0000"/>
              </font>
            </x14:dxf>
          </x14:cfRule>
          <xm:sqref>C14</xm:sqref>
        </x14:conditionalFormatting>
        <x14:conditionalFormatting xmlns:xm="http://schemas.microsoft.com/office/excel/2006/main">
          <x14:cfRule type="expression" priority="9" id="{7237B573-0727-4823-AC89-AA2EAD8FDC19}">
            <xm:f>'TC1'!#REF!="Speak"</xm:f>
            <x14:dxf>
              <font>
                <b/>
                <i val="0"/>
                <color rgb="FFFF0000"/>
              </font>
            </x14:dxf>
          </x14:cfRule>
          <xm:sqref>C14</xm:sqref>
        </x14:conditionalFormatting>
        <x14:conditionalFormatting xmlns:xm="http://schemas.microsoft.com/office/excel/2006/main">
          <x14:cfRule type="expression" priority="4" id="{68573877-D088-4880-8B68-94C8236B04BA}">
            <xm:f>'TC1'!#REF!="HANGUP"</xm:f>
            <x14:dxf>
              <font>
                <b/>
                <i val="0"/>
              </font>
            </x14:dxf>
          </x14:cfRule>
          <x14:cfRule type="expression" priority="5" id="{3CDAB1CB-43D5-426E-88A5-CECEBA8F85ED}">
            <xm:f>'TC1'!#REF!="Dial"</xm:f>
            <x14:dxf>
              <font>
                <b/>
                <i val="0"/>
                <color rgb="FFFF0000"/>
              </font>
            </x14:dxf>
          </x14:cfRule>
          <xm:sqref>C16</xm:sqref>
        </x14:conditionalFormatting>
        <x14:conditionalFormatting xmlns:xm="http://schemas.microsoft.com/office/excel/2006/main">
          <x14:cfRule type="expression" priority="6" id="{55CBE04B-3DBE-470B-9418-AC1A2BA16759}">
            <xm:f>'TC1'!#REF!="Speak"</xm:f>
            <x14:dxf>
              <font>
                <b/>
                <i val="0"/>
                <color rgb="FFFF0000"/>
              </font>
            </x14:dxf>
          </x14:cfRule>
          <xm:sqref>C16</xm:sqref>
        </x14:conditionalFormatting>
        <x14:conditionalFormatting xmlns:xm="http://schemas.microsoft.com/office/excel/2006/main">
          <x14:cfRule type="expression" priority="1" id="{27C8FE67-91AB-4B05-951C-A84A2C4EBD51}">
            <xm:f>'TC1'!#REF!="HANGUP"</xm:f>
            <x14:dxf>
              <font>
                <b/>
                <i val="0"/>
              </font>
            </x14:dxf>
          </x14:cfRule>
          <x14:cfRule type="expression" priority="2" id="{364C8057-D5E0-4634-8223-C0BE45079F79}">
            <xm:f>'TC1'!#REF!="Dial"</xm:f>
            <x14:dxf>
              <font>
                <b/>
                <i val="0"/>
                <color rgb="FFFF0000"/>
              </font>
            </x14:dxf>
          </x14:cfRule>
          <xm:sqref>C18</xm:sqref>
        </x14:conditionalFormatting>
        <x14:conditionalFormatting xmlns:xm="http://schemas.microsoft.com/office/excel/2006/main">
          <x14:cfRule type="expression" priority="3" id="{263BFE59-A5AA-4961-AD16-58771F94B001}">
            <xm:f>'TC1'!#REF!="Speak"</xm:f>
            <x14:dxf>
              <font>
                <b/>
                <i val="0"/>
                <color rgb="FFFF0000"/>
              </font>
            </x14:dxf>
          </x14:cfRule>
          <xm:sqref>C18</xm:sqref>
        </x14:conditionalFormatting>
      </x14:conditionalFormattings>
    </ext>
  </extLst>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7"/>
  <dimension ref="A1:E39"/>
  <sheetViews>
    <sheetView zoomScaleNormal="100" workbookViewId="0">
      <selection activeCell="B30" sqref="B30"/>
    </sheetView>
  </sheetViews>
  <sheetFormatPr defaultRowHeight="15"/>
  <cols>
    <col min="1" max="1" width="14.42578125" style="41" bestFit="1" customWidth="1"/>
    <col min="2" max="2" width="42.7109375" style="41" customWidth="1"/>
    <col min="3" max="3" width="106.28515625" style="21" customWidth="1"/>
    <col min="4" max="4" width="21.7109375" style="32" bestFit="1" customWidth="1"/>
    <col min="5" max="5" width="20.7109375" style="41" customWidth="1"/>
  </cols>
  <sheetData>
    <row r="1" spans="1:5" ht="18.75">
      <c r="A1" s="197" t="s">
        <v>4</v>
      </c>
      <c r="B1" s="197"/>
      <c r="C1" s="18"/>
    </row>
    <row r="2" spans="1:5">
      <c r="A2" s="19" t="s">
        <v>5</v>
      </c>
      <c r="B2" s="20" t="str">
        <f ca="1">MID(CELL("filename",A1),FIND("]",CELL("filename",A1))+1,LEN(CELL("filename",A1))-FIND("]",CELL("filename",A1)))</f>
        <v>TC85</v>
      </c>
    </row>
    <row r="3" spans="1:5">
      <c r="A3" s="22" t="s">
        <v>19</v>
      </c>
      <c r="B3" s="23">
        <f ca="1">VLOOKUP(B2,Table53[#All],2,FALSE)</f>
        <v>0</v>
      </c>
    </row>
    <row r="4" spans="1:5" ht="45">
      <c r="A4" s="38" t="s">
        <v>20</v>
      </c>
      <c r="B4" s="37" t="str">
        <f ca="1">VLOOKUP(B2,Table53[#All],4,FALSE)</f>
        <v>svcArea=titleSvcs, serviceType=chgOwnership, Not in progress or complete &lt;90days. 325-V-ND-E</v>
      </c>
      <c r="C4" s="21" t="s">
        <v>237</v>
      </c>
    </row>
    <row r="5" spans="1:5" ht="45">
      <c r="A5" s="22" t="s">
        <v>6</v>
      </c>
      <c r="B5" s="75" t="str">
        <f ca="1">VLOOKUP(B2,Table53[#All],3,FALSE)</f>
        <v>CallStart Main Menu /Title /Ownership changes/ID Auth=True/ change name at ChangeMenu/HU after hearing peg 0330</v>
      </c>
    </row>
    <row r="7" spans="1:5" ht="15.75">
      <c r="A7" s="96" t="s">
        <v>7</v>
      </c>
      <c r="B7" s="97" t="s">
        <v>8</v>
      </c>
      <c r="C7" s="98" t="s">
        <v>9</v>
      </c>
      <c r="D7" s="98" t="s">
        <v>14</v>
      </c>
      <c r="E7" s="99" t="s">
        <v>10</v>
      </c>
    </row>
    <row r="8" spans="1:5" s="93" customFormat="1">
      <c r="A8" s="114">
        <v>1</v>
      </c>
      <c r="B8" s="110" t="s">
        <v>114</v>
      </c>
      <c r="C8" s="105" t="s">
        <v>125</v>
      </c>
      <c r="D8" s="125"/>
      <c r="E8" s="122" t="s">
        <v>11</v>
      </c>
    </row>
    <row r="9" spans="1:5" s="93" customFormat="1">
      <c r="A9" s="114">
        <v>2</v>
      </c>
      <c r="B9" s="110" t="s">
        <v>115</v>
      </c>
      <c r="C9" s="105" t="str">
        <f>VLOOKUP(Table25751953[[#This Row],[PEG]],Table1016[#All],2,FALSE)</f>
        <v>CallID.wav Call ID &lt;CallID&gt;</v>
      </c>
      <c r="D9" s="152" t="s">
        <v>477</v>
      </c>
      <c r="E9" s="122" t="str">
        <f>VLOOKUP(Table25751953[[#This Row],[PEG]],Table1016[#All],3,FALSE)</f>
        <v>TEST</v>
      </c>
    </row>
    <row r="10" spans="1:5" s="93" customFormat="1" ht="30">
      <c r="A10" s="114">
        <v>3</v>
      </c>
      <c r="B10" s="110" t="s">
        <v>115</v>
      </c>
      <c r="C10" s="105" t="str">
        <f>VLOOKUP(Table25751953[[#This Row],[PEG]],Table1016[#All],2,FALSE)</f>
        <v>0100.wav Thank you for calling Shell vacations Club, we are glad you called. Please have your account number available for faster service. [To continue in Spanish, press 9]</v>
      </c>
      <c r="D10" s="152">
        <v>100</v>
      </c>
      <c r="E10" s="122" t="str">
        <f>VLOOKUP(Table25751953[[#This Row],[PEG]],Table1016[#All],3,FALSE)</f>
        <v>PLAY PROMPT</v>
      </c>
    </row>
    <row r="11" spans="1:5" s="93" customFormat="1" ht="30">
      <c r="A11" s="114">
        <v>4</v>
      </c>
      <c r="B11" s="110" t="s">
        <v>115</v>
      </c>
      <c r="C11" s="105" t="str">
        <f>VLOOKUP(Table25751953[[#This Row],[PEG]],Table1016[#All],2,FALSE)</f>
        <v>0110-1.wav Which would you like? You can say... reservations, payments &amp; statements, title &amp; ownership changes, or more options.</v>
      </c>
      <c r="D11" s="152">
        <v>110</v>
      </c>
      <c r="E11" s="122" t="str">
        <f>VLOOKUP(Table25751953[[#This Row],[PEG]],Table1016[#All],3,FALSE)</f>
        <v>MENU PROMPT</v>
      </c>
    </row>
    <row r="12" spans="1:5" s="93" customFormat="1">
      <c r="A12" s="114">
        <v>5</v>
      </c>
      <c r="B12" s="110" t="s">
        <v>124</v>
      </c>
      <c r="C12" s="151" t="s">
        <v>486</v>
      </c>
      <c r="D12" s="152"/>
      <c r="E12" s="122" t="e">
        <f>VLOOKUP(Table25751953[[#This Row],[PEG]],Table1016[#All],3,FALSE)</f>
        <v>#N/A</v>
      </c>
    </row>
    <row r="13" spans="1:5" s="93" customFormat="1" ht="30">
      <c r="A13" s="114">
        <v>6</v>
      </c>
      <c r="B13" s="110" t="s">
        <v>115</v>
      </c>
      <c r="C13" s="105" t="str">
        <f>VLOOKUP(Table25751953[[#This Row],[PEG]],Table1016[#All],2,FALSE)</f>
        <v>0300-1.wav You can say ownership changes, check status, make a payment, or help me with something else. Which would you like?</v>
      </c>
      <c r="D13" s="152">
        <v>300</v>
      </c>
      <c r="E13" s="122" t="str">
        <f>VLOOKUP(Table25751953[[#This Row],[PEG]],Table1016[#All],3,FALSE)</f>
        <v>MENU PROMPT</v>
      </c>
    </row>
    <row r="14" spans="1:5" s="93" customFormat="1">
      <c r="A14" s="114">
        <v>7</v>
      </c>
      <c r="B14" s="110" t="s">
        <v>124</v>
      </c>
      <c r="C14" s="151" t="s">
        <v>506</v>
      </c>
      <c r="D14" s="125"/>
      <c r="E14" s="122" t="e">
        <f>VLOOKUP(Table25751953[[#This Row],[PEG]],Table1016[#All],3,FALSE)</f>
        <v>#N/A</v>
      </c>
    </row>
    <row r="15" spans="1:5">
      <c r="A15" s="114">
        <v>8</v>
      </c>
      <c r="B15" s="110" t="s">
        <v>115</v>
      </c>
      <c r="C15" s="105" t="str">
        <f>VLOOKUP(Table25751953[[#This Row],[PEG]],Table1016[#All],2,FALSE)</f>
        <v>0200-1.wav To get started, what is your account number?</v>
      </c>
      <c r="D15" s="153">
        <v>200</v>
      </c>
      <c r="E15" s="122" t="str">
        <f>VLOOKUP(Table25751953[[#This Row],[PEG]],Table1016[#All],3,FALSE)</f>
        <v>MENU PROMPT</v>
      </c>
    </row>
    <row r="16" spans="1:5">
      <c r="A16" s="114">
        <v>9</v>
      </c>
      <c r="B16" s="110" t="s">
        <v>114</v>
      </c>
      <c r="C16" s="151" t="s">
        <v>515</v>
      </c>
      <c r="D16" s="112"/>
      <c r="E16" s="122" t="e">
        <f>VLOOKUP(Table25751953[[#This Row],[PEG]],Table1016[#All],3,FALSE)</f>
        <v>#N/A</v>
      </c>
    </row>
    <row r="17" spans="1:5">
      <c r="A17" s="114">
        <v>10</v>
      </c>
      <c r="B17" s="110" t="s">
        <v>115</v>
      </c>
      <c r="C17" s="105" t="str">
        <f>VLOOKUP(Table25751953[[#This Row],[PEG]],Table1016[#All],2,FALSE)</f>
        <v>0210-1.wav And the date of birth for the primary owner?</v>
      </c>
      <c r="D17" s="154">
        <v>210</v>
      </c>
      <c r="E17" s="122" t="str">
        <f>VLOOKUP(Table25751953[[#This Row],[PEG]],Table1016[#All],3,FALSE)</f>
        <v>MENU PROMPT</v>
      </c>
    </row>
    <row r="18" spans="1:5">
      <c r="A18" s="114">
        <v>11</v>
      </c>
      <c r="B18" s="110" t="s">
        <v>124</v>
      </c>
      <c r="C18" s="151" t="s">
        <v>524</v>
      </c>
      <c r="D18" s="113"/>
      <c r="E18" s="122" t="e">
        <f>VLOOKUP(Table25751953[[#This Row],[PEG]],Table1016[#All],3,FALSE)</f>
        <v>#N/A</v>
      </c>
    </row>
    <row r="19" spans="1:5" ht="45">
      <c r="A19" s="114">
        <v>12</v>
      </c>
      <c r="B19" s="110" t="s">
        <v>115</v>
      </c>
      <c r="C19" s="105" t="str">
        <f>VLOOKUP(Table25751953[[#This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54">
        <v>320</v>
      </c>
      <c r="E19" s="122" t="str">
        <f>VLOOKUP(Table25751953[[#This Row],[PEG]],Table1016[#All],3,FALSE)</f>
        <v>MENU PROMPT</v>
      </c>
    </row>
    <row r="20" spans="1:5">
      <c r="A20" s="114">
        <v>13</v>
      </c>
      <c r="B20" s="110" t="s">
        <v>124</v>
      </c>
      <c r="C20" s="151" t="s">
        <v>525</v>
      </c>
      <c r="D20" s="113"/>
      <c r="E20" s="122" t="e">
        <f>VLOOKUP(Table25751953[[#This Row],[PEG]],Table1016[#All],3,FALSE)</f>
        <v>#N/A</v>
      </c>
    </row>
    <row r="21" spans="1:5" ht="75">
      <c r="A21" s="114">
        <v>14</v>
      </c>
      <c r="B21" s="110" t="s">
        <v>115</v>
      </c>
      <c r="C21" s="105" t="str">
        <f>VLOOKUP(Table25751953[[#This Row],[PEG]],Table1016[#All],2,FALSE)</f>
        <v>Wyndham requires a $299 processing fee to update ownership, in addition, a written request with the name of the owner being removed must be submitted. Please send the information to 6277 Sea Harbor Drive, Orlando Florida 32821, attention, Ownership Change. Once the information and fee is received, Wyndham will send removal paperwork to be signed in front of a notary and returned. In the event of a divorce, Wyndham will not require a fee but will require supporting documentation to be mailed to the same address.</v>
      </c>
      <c r="D21" s="94" t="s">
        <v>237</v>
      </c>
      <c r="E21" s="122" t="str">
        <f>VLOOKUP(Table25751953[[#This Row],[PEG]],Table1016[#All],3,FALSE)</f>
        <v>PLAY PROMPT</v>
      </c>
    </row>
    <row r="22" spans="1:5" ht="30">
      <c r="A22" s="114">
        <v>15</v>
      </c>
      <c r="B22" s="110" t="s">
        <v>115</v>
      </c>
      <c r="C22" s="105" t="str">
        <f>VLOOKUP(Table25751953[[#This Row],[PEG]],Table1016[#All],2,FALSE)</f>
        <v>0330-1.wav To hear this information again, say repeat that. If you would like me to send you a letter with instructions to start the process, say information letter.</v>
      </c>
      <c r="D22" s="154">
        <v>330</v>
      </c>
      <c r="E22" s="122" t="str">
        <f>VLOOKUP(Table25751953[[#This Row],[PEG]],Table1016[#All],3,FALSE)</f>
        <v>MENU PROMPT</v>
      </c>
    </row>
    <row r="23" spans="1:5">
      <c r="A23" s="114">
        <v>16</v>
      </c>
      <c r="B23" s="110" t="s">
        <v>13</v>
      </c>
      <c r="C23" s="17" t="s">
        <v>13</v>
      </c>
      <c r="D23" s="111"/>
      <c r="E23" s="31"/>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6"/>
    </row>
    <row r="38" spans="3:3">
      <c r="C38" s="26"/>
    </row>
    <row r="39" spans="3:3">
      <c r="C39" s="26"/>
    </row>
  </sheetData>
  <mergeCells count="1">
    <mergeCell ref="A1:B1"/>
  </mergeCells>
  <conditionalFormatting sqref="C24:C9978">
    <cfRule type="expression" dxfId="3834" priority="64">
      <formula>$B24="Dial"</formula>
    </cfRule>
    <cfRule type="expression" dxfId="3833" priority="66">
      <formula>$B24="HANGUP"</formula>
    </cfRule>
  </conditionalFormatting>
  <conditionalFormatting sqref="B23">
    <cfRule type="containsText" dxfId="3832" priority="22" operator="containsText" text="Hear">
      <formula>NOT(ISERROR(SEARCH("Hear",B23)))</formula>
    </cfRule>
  </conditionalFormatting>
  <conditionalFormatting sqref="E23">
    <cfRule type="containsText" dxfId="3831" priority="30" operator="containsText" text="WEB SERVICE">
      <formula>NOT(ISERROR(SEARCH("WEB SERVICE",E23)))</formula>
    </cfRule>
    <cfRule type="containsText" dxfId="3830" priority="31" operator="containsText" text="DB">
      <formula>NOT(ISERROR(SEARCH("DB",E23)))</formula>
    </cfRule>
  </conditionalFormatting>
  <conditionalFormatting sqref="C23">
    <cfRule type="expression" dxfId="3829" priority="33">
      <formula>$B23="Dial"</formula>
    </cfRule>
    <cfRule type="expression" dxfId="3828" priority="35">
      <formula>$B23="HANGUP"</formula>
    </cfRule>
  </conditionalFormatting>
  <conditionalFormatting sqref="C23">
    <cfRule type="expression" dxfId="3827" priority="34">
      <formula>$B23="Speak"</formula>
    </cfRule>
  </conditionalFormatting>
  <conditionalFormatting sqref="B8">
    <cfRule type="containsText" dxfId="3826" priority="19" operator="containsText" text="Hear">
      <formula>NOT(ISERROR(SEARCH("Hear",B8)))</formula>
    </cfRule>
  </conditionalFormatting>
  <conditionalFormatting sqref="B20:B22">
    <cfRule type="containsText" dxfId="3825" priority="18" operator="containsText" text="Hear">
      <formula>NOT(ISERROR(SEARCH("Hear",B20)))</formula>
    </cfRule>
  </conditionalFormatting>
  <conditionalFormatting sqref="B18:B19">
    <cfRule type="containsText" dxfId="3824" priority="17" operator="containsText" text="Hear">
      <formula>NOT(ISERROR(SEARCH("Hear",B18)))</formula>
    </cfRule>
  </conditionalFormatting>
  <conditionalFormatting sqref="B9:B17">
    <cfRule type="containsText" dxfId="3823" priority="16" operator="containsText" text="Hear">
      <formula>NOT(ISERROR(SEARCH("Hear",B9)))</formula>
    </cfRule>
  </conditionalFormatting>
  <hyperlinks>
    <hyperlink ref="A1" location="'Test Case Overview'!A1" display="Return to Test Case Overview" xr:uid="{00000000-0004-0000-55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42" id="{D029F29A-BF77-4485-A222-2FA0E98BFD08}">
            <xm:f>'TC1'!$B8="Speak"</xm:f>
            <x14:dxf>
              <font>
                <b/>
                <i val="0"/>
                <color rgb="FFFF0000"/>
              </font>
            </x14:dxf>
          </x14:cfRule>
          <xm:sqref>C8</xm:sqref>
        </x14:conditionalFormatting>
        <x14:conditionalFormatting xmlns:xm="http://schemas.microsoft.com/office/excel/2006/main">
          <x14:cfRule type="expression" priority="26" id="{6CCFFEC2-91C2-4020-82D3-3EBD854CDC04}">
            <xm:f>'TC1'!$B8="HANGUP"</xm:f>
            <x14:dxf>
              <font>
                <b/>
                <i val="0"/>
              </font>
            </x14:dxf>
          </x14:cfRule>
          <x14:cfRule type="expression" priority="27" id="{86753595-C157-48CE-BBCA-B13CDD75FF83}">
            <xm:f>'TC1'!$B8="Dial"</xm:f>
            <x14:dxf>
              <font>
                <b/>
                <i val="0"/>
                <color rgb="FFFF0000"/>
              </font>
            </x14:dxf>
          </x14:cfRule>
          <xm:sqref>C8</xm:sqref>
        </x14:conditionalFormatting>
        <x14:conditionalFormatting xmlns:xm="http://schemas.microsoft.com/office/excel/2006/main">
          <x14:cfRule type="containsText" priority="25" operator="containsText" text="DB" id="{5C949343-D205-4F78-B05C-C84955F454BF}">
            <xm:f>NOT(ISERROR(SEARCH("DB",'TC1'!E10)))</xm:f>
            <x14:dxf>
              <font>
                <color rgb="FF006100"/>
              </font>
              <fill>
                <patternFill>
                  <bgColor rgb="FFC6EFCE"/>
                </patternFill>
              </fill>
            </x14:dxf>
          </x14:cfRule>
          <x14:cfRule type="containsText" priority="29" operator="containsText" text="WEB SERVICE" id="{5CAF7E62-5BFF-4241-8ACE-9389758A6F87}">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984" id="{D029F29A-BF77-4485-A222-2FA0E98BFD08}">
            <xm:f>'TC1'!#REF!="Speak"</xm:f>
            <x14:dxf>
              <font>
                <b/>
                <i val="0"/>
                <color rgb="FFFF0000"/>
              </font>
            </x14:dxf>
          </x14:cfRule>
          <xm:sqref>C13 C15 C17 C19 C21:C22</xm:sqref>
        </x14:conditionalFormatting>
        <x14:conditionalFormatting xmlns:xm="http://schemas.microsoft.com/office/excel/2006/main">
          <x14:cfRule type="expression" priority="1990" id="{6CCFFEC2-91C2-4020-82D3-3EBD854CDC04}">
            <xm:f>'TC1'!#REF!="HANGUP"</xm:f>
            <x14:dxf>
              <font>
                <b/>
                <i val="0"/>
              </font>
            </x14:dxf>
          </x14:cfRule>
          <x14:cfRule type="expression" priority="1991" id="{86753595-C157-48CE-BBCA-B13CDD75FF83}">
            <xm:f>'TC1'!#REF!="Dial"</xm:f>
            <x14:dxf>
              <font>
                <b/>
                <i val="0"/>
                <color rgb="FFFF0000"/>
              </font>
            </x14:dxf>
          </x14:cfRule>
          <xm:sqref>C13 C15 C17 C19 C21:C22</xm:sqref>
        </x14:conditionalFormatting>
        <x14:conditionalFormatting xmlns:xm="http://schemas.microsoft.com/office/excel/2006/main">
          <x14:cfRule type="containsText" priority="1998" operator="containsText" text="DB" id="{5C949343-D205-4F78-B05C-C84955F454BF}">
            <xm:f>NOT(ISERROR(SEARCH("DB",'TC1'!#REF!)))</xm:f>
            <x14:dxf>
              <font>
                <color rgb="FF006100"/>
              </font>
              <fill>
                <patternFill>
                  <bgColor rgb="FFC6EFCE"/>
                </patternFill>
              </fill>
            </x14:dxf>
          </x14:cfRule>
          <x14:cfRule type="containsText" priority="1999" operator="containsText" text="WEB SERVICE" id="{5CAF7E62-5BFF-4241-8ACE-9389758A6F87}">
            <xm:f>NOT(ISERROR(SEARCH("WEB SERVICE",'TC1'!#REF!)))</xm:f>
            <x14:dxf>
              <font>
                <color rgb="FF9C0006"/>
              </font>
              <fill>
                <patternFill>
                  <bgColor rgb="FFFFC7CE"/>
                </patternFill>
              </fill>
            </x14:dxf>
          </x14:cfRule>
          <xm:sqref>E13:E22</xm:sqref>
        </x14:conditionalFormatting>
        <x14:conditionalFormatting xmlns:xm="http://schemas.microsoft.com/office/excel/2006/main">
          <x14:cfRule type="expression" priority="4055" id="{D029F29A-BF77-4485-A222-2FA0E98BFD08}">
            <xm:f>'TC1'!$B10="Speak"</xm:f>
            <x14:dxf>
              <font>
                <b/>
                <i val="0"/>
                <color rgb="FFFF0000"/>
              </font>
            </x14:dxf>
          </x14:cfRule>
          <xm:sqref>C9:C11</xm:sqref>
        </x14:conditionalFormatting>
        <x14:conditionalFormatting xmlns:xm="http://schemas.microsoft.com/office/excel/2006/main">
          <x14:cfRule type="expression" priority="4058" id="{6CCFFEC2-91C2-4020-82D3-3EBD854CDC04}">
            <xm:f>'TC1'!$B10="HANGUP"</xm:f>
            <x14:dxf>
              <font>
                <b/>
                <i val="0"/>
              </font>
            </x14:dxf>
          </x14:cfRule>
          <x14:cfRule type="expression" priority="4059" id="{86753595-C157-48CE-BBCA-B13CDD75FF83}">
            <xm:f>'TC1'!$B10="Dial"</xm:f>
            <x14:dxf>
              <font>
                <b/>
                <i val="0"/>
                <color rgb="FFFF0000"/>
              </font>
            </x14:dxf>
          </x14:cfRule>
          <xm:sqref>C9:C11</xm:sqref>
        </x14:conditionalFormatting>
        <x14:conditionalFormatting xmlns:xm="http://schemas.microsoft.com/office/excel/2006/main">
          <x14:cfRule type="expression" priority="13" id="{601077CB-F128-4A8A-98E5-BCACA3D1A087}">
            <xm:f>'TC1'!#REF!="HANGUP"</xm:f>
            <x14:dxf>
              <font>
                <b/>
                <i val="0"/>
              </font>
            </x14:dxf>
          </x14:cfRule>
          <x14:cfRule type="expression" priority="14" id="{CD14657E-4F88-465B-B573-E257206D6CFB}">
            <xm:f>'TC1'!#REF!="Dial"</xm:f>
            <x14:dxf>
              <font>
                <b/>
                <i val="0"/>
                <color rgb="FFFF0000"/>
              </font>
            </x14:dxf>
          </x14:cfRule>
          <xm:sqref>C12</xm:sqref>
        </x14:conditionalFormatting>
        <x14:conditionalFormatting xmlns:xm="http://schemas.microsoft.com/office/excel/2006/main">
          <x14:cfRule type="expression" priority="15" id="{64C02AC8-9A29-4445-83CC-92848F5B7A52}">
            <xm:f>'TC1'!#REF!="Speak"</xm:f>
            <x14:dxf>
              <font>
                <b/>
                <i val="0"/>
                <color rgb="FFFF0000"/>
              </font>
            </x14:dxf>
          </x14:cfRule>
          <xm:sqref>C12</xm:sqref>
        </x14:conditionalFormatting>
        <x14:conditionalFormatting xmlns:xm="http://schemas.microsoft.com/office/excel/2006/main">
          <x14:cfRule type="expression" priority="10" id="{ED7BF048-BA35-4DC9-98E9-657CC523B8A7}">
            <xm:f>'TC1'!#REF!="HANGUP"</xm:f>
            <x14:dxf>
              <font>
                <b/>
                <i val="0"/>
              </font>
            </x14:dxf>
          </x14:cfRule>
          <x14:cfRule type="expression" priority="11" id="{D2273C27-A3BA-4E79-9C50-05EB54BC4642}">
            <xm:f>'TC1'!#REF!="Dial"</xm:f>
            <x14:dxf>
              <font>
                <b/>
                <i val="0"/>
                <color rgb="FFFF0000"/>
              </font>
            </x14:dxf>
          </x14:cfRule>
          <xm:sqref>C14</xm:sqref>
        </x14:conditionalFormatting>
        <x14:conditionalFormatting xmlns:xm="http://schemas.microsoft.com/office/excel/2006/main">
          <x14:cfRule type="expression" priority="12" id="{5F7278FB-B4EF-4226-BE09-67C5DDC11637}">
            <xm:f>'TC1'!#REF!="Speak"</xm:f>
            <x14:dxf>
              <font>
                <b/>
                <i val="0"/>
                <color rgb="FFFF0000"/>
              </font>
            </x14:dxf>
          </x14:cfRule>
          <xm:sqref>C14</xm:sqref>
        </x14:conditionalFormatting>
        <x14:conditionalFormatting xmlns:xm="http://schemas.microsoft.com/office/excel/2006/main">
          <x14:cfRule type="expression" priority="7" id="{22F30D5B-77B5-4A3D-BCC7-D7C563A1CB66}">
            <xm:f>'TC1'!#REF!="HANGUP"</xm:f>
            <x14:dxf>
              <font>
                <b/>
                <i val="0"/>
              </font>
            </x14:dxf>
          </x14:cfRule>
          <x14:cfRule type="expression" priority="8" id="{03A8829B-2863-4D90-8C01-9B73AFB67DD0}">
            <xm:f>'TC1'!#REF!="Dial"</xm:f>
            <x14:dxf>
              <font>
                <b/>
                <i val="0"/>
                <color rgb="FFFF0000"/>
              </font>
            </x14:dxf>
          </x14:cfRule>
          <xm:sqref>C16</xm:sqref>
        </x14:conditionalFormatting>
        <x14:conditionalFormatting xmlns:xm="http://schemas.microsoft.com/office/excel/2006/main">
          <x14:cfRule type="expression" priority="9" id="{86F7E590-4F75-424D-9737-263D2F618BC6}">
            <xm:f>'TC1'!#REF!="Speak"</xm:f>
            <x14:dxf>
              <font>
                <b/>
                <i val="0"/>
                <color rgb="FFFF0000"/>
              </font>
            </x14:dxf>
          </x14:cfRule>
          <xm:sqref>C16</xm:sqref>
        </x14:conditionalFormatting>
        <x14:conditionalFormatting xmlns:xm="http://schemas.microsoft.com/office/excel/2006/main">
          <x14:cfRule type="expression" priority="4" id="{17A76275-F765-4BE1-A6C4-DD634EF36C86}">
            <xm:f>'TC1'!#REF!="HANGUP"</xm:f>
            <x14:dxf>
              <font>
                <b/>
                <i val="0"/>
              </font>
            </x14:dxf>
          </x14:cfRule>
          <x14:cfRule type="expression" priority="5" id="{C9E65FFD-ABB6-4709-9402-50CB9A1A73F4}">
            <xm:f>'TC1'!#REF!="Dial"</xm:f>
            <x14:dxf>
              <font>
                <b/>
                <i val="0"/>
                <color rgb="FFFF0000"/>
              </font>
            </x14:dxf>
          </x14:cfRule>
          <xm:sqref>C18</xm:sqref>
        </x14:conditionalFormatting>
        <x14:conditionalFormatting xmlns:xm="http://schemas.microsoft.com/office/excel/2006/main">
          <x14:cfRule type="expression" priority="6" id="{21259658-9A3C-4167-9B5B-5223BF19560A}">
            <xm:f>'TC1'!#REF!="Speak"</xm:f>
            <x14:dxf>
              <font>
                <b/>
                <i val="0"/>
                <color rgb="FFFF0000"/>
              </font>
            </x14:dxf>
          </x14:cfRule>
          <xm:sqref>C18</xm:sqref>
        </x14:conditionalFormatting>
        <x14:conditionalFormatting xmlns:xm="http://schemas.microsoft.com/office/excel/2006/main">
          <x14:cfRule type="expression" priority="1" id="{74083F0D-F4EA-43FA-B101-530E7BA71D8B}">
            <xm:f>'TC1'!#REF!="HANGUP"</xm:f>
            <x14:dxf>
              <font>
                <b/>
                <i val="0"/>
              </font>
            </x14:dxf>
          </x14:cfRule>
          <x14:cfRule type="expression" priority="2" id="{1E176A93-33A7-4DA5-BD5F-2C1C5A885C4E}">
            <xm:f>'TC1'!#REF!="Dial"</xm:f>
            <x14:dxf>
              <font>
                <b/>
                <i val="0"/>
                <color rgb="FFFF0000"/>
              </font>
            </x14:dxf>
          </x14:cfRule>
          <xm:sqref>C20</xm:sqref>
        </x14:conditionalFormatting>
        <x14:conditionalFormatting xmlns:xm="http://schemas.microsoft.com/office/excel/2006/main">
          <x14:cfRule type="expression" priority="3" id="{CBEAEACB-2AB5-4EA0-B0E3-2141D6A15FEF}">
            <xm:f>'TC1'!#REF!="Speak"</xm:f>
            <x14:dxf>
              <font>
                <b/>
                <i val="0"/>
                <color rgb="FFFF0000"/>
              </font>
            </x14:dxf>
          </x14:cfRule>
          <xm:sqref>C20</xm:sqref>
        </x14:conditionalFormatting>
      </x14:conditionalFormattings>
    </ext>
  </extLst>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8"/>
  <dimension ref="A1:E37"/>
  <sheetViews>
    <sheetView zoomScaleNormal="100" workbookViewId="0">
      <selection activeCell="A23" sqref="A23"/>
    </sheetView>
  </sheetViews>
  <sheetFormatPr defaultRowHeight="15"/>
  <cols>
    <col min="1" max="1" width="14.42578125" style="78" bestFit="1" customWidth="1"/>
    <col min="2" max="2" width="42.7109375" style="78" customWidth="1"/>
    <col min="3" max="3" width="106.28515625" style="79" customWidth="1"/>
    <col min="4" max="4" width="21.7109375" style="90" bestFit="1" customWidth="1"/>
    <col min="5" max="5" width="20.7109375" style="78" customWidth="1"/>
  </cols>
  <sheetData>
    <row r="1" spans="1:5" ht="18.75">
      <c r="A1" s="197" t="s">
        <v>4</v>
      </c>
      <c r="B1" s="197"/>
      <c r="C1" s="86"/>
    </row>
    <row r="2" spans="1:5">
      <c r="A2" s="87" t="s">
        <v>5</v>
      </c>
      <c r="B2" s="88" t="str">
        <f ca="1">MID(CELL("filename",A1),FIND("]",CELL("filename",A1))+1,LEN(CELL("filename",A1))-FIND("]",CELL("filename",A1)))</f>
        <v>TC86</v>
      </c>
    </row>
    <row r="3" spans="1:5">
      <c r="A3" s="85" t="s">
        <v>19</v>
      </c>
      <c r="B3" s="91">
        <f ca="1">VLOOKUP(B2,Table53[#All],2,FALSE)</f>
        <v>0</v>
      </c>
    </row>
    <row r="4" spans="1:5" ht="45">
      <c r="A4" s="92" t="s">
        <v>20</v>
      </c>
      <c r="B4" s="80" t="str">
        <f ca="1">VLOOKUP(B2,Table53[#All],4,FALSE)</f>
        <v>svcArea=titleSvcs, serviceType=chgOwnership, Not in progress or complete &lt;90days. 325-V-DD-E</v>
      </c>
      <c r="C4" s="79" t="s">
        <v>239</v>
      </c>
    </row>
    <row r="5" spans="1:5" ht="45">
      <c r="A5" s="85" t="s">
        <v>6</v>
      </c>
      <c r="B5" s="75" t="str">
        <f ca="1">VLOOKUP(B2,Table53[#All],3,FALSE)</f>
        <v xml:space="preserve">CallStart Main Menu /Title /Ownership changes/ID Auth=True/ change name at ChangeMenu/HU after hearing peg 0330 </v>
      </c>
    </row>
    <row r="7" spans="1:5" ht="15.75">
      <c r="A7" s="96" t="s">
        <v>7</v>
      </c>
      <c r="B7" s="97" t="s">
        <v>8</v>
      </c>
      <c r="C7" s="98" t="s">
        <v>9</v>
      </c>
      <c r="D7" s="98" t="s">
        <v>14</v>
      </c>
      <c r="E7" s="99" t="s">
        <v>10</v>
      </c>
    </row>
    <row r="8" spans="1:5">
      <c r="A8" s="114">
        <v>1</v>
      </c>
      <c r="B8" s="110" t="s">
        <v>114</v>
      </c>
      <c r="C8" s="105" t="s">
        <v>125</v>
      </c>
      <c r="D8" s="125"/>
      <c r="E8" s="122" t="s">
        <v>11</v>
      </c>
    </row>
    <row r="9" spans="1:5" s="93" customFormat="1">
      <c r="A9" s="114">
        <v>2</v>
      </c>
      <c r="B9" s="110" t="s">
        <v>115</v>
      </c>
      <c r="C9" s="105" t="str">
        <f>VLOOKUP(Table25751954[[#This Row],[PEG]],Table1016[#All],2,FALSE)</f>
        <v>CallID.wav Call ID &lt;CallID&gt;</v>
      </c>
      <c r="D9" s="152" t="s">
        <v>477</v>
      </c>
      <c r="E9" s="122" t="str">
        <f>VLOOKUP(Table25751954[[#This Row],[PEG]],Table1016[#All],3,FALSE)</f>
        <v>TEST</v>
      </c>
    </row>
    <row r="10" spans="1:5" s="93" customFormat="1" ht="30">
      <c r="A10" s="114">
        <v>3</v>
      </c>
      <c r="B10" s="110" t="s">
        <v>115</v>
      </c>
      <c r="C10" s="105" t="str">
        <f>VLOOKUP(Table25751954[[#This Row],[PEG]],Table1016[#All],2,FALSE)</f>
        <v>0100.wav Thank you for calling Shell vacations Club, we are glad you called. Please have your account number available for faster service. [To continue in Spanish, press 9]</v>
      </c>
      <c r="D10" s="152">
        <v>100</v>
      </c>
      <c r="E10" s="122" t="str">
        <f>VLOOKUP(Table25751954[[#This Row],[PEG]],Table1016[#All],3,FALSE)</f>
        <v>PLAY PROMPT</v>
      </c>
    </row>
    <row r="11" spans="1:5" s="93" customFormat="1" ht="30">
      <c r="A11" s="114">
        <v>4</v>
      </c>
      <c r="B11" s="110" t="s">
        <v>115</v>
      </c>
      <c r="C11" s="105" t="str">
        <f>VLOOKUP(Table25751954[[#This Row],[PEG]],Table1016[#All],2,FALSE)</f>
        <v>0110-1.wav Which would you like? You can say... reservations, payments &amp; statements, title &amp; ownership changes, or more options.</v>
      </c>
      <c r="D11" s="152">
        <v>110</v>
      </c>
      <c r="E11" s="122" t="str">
        <f>VLOOKUP(Table25751954[[#This Row],[PEG]],Table1016[#All],3,FALSE)</f>
        <v>MENU PROMPT</v>
      </c>
    </row>
    <row r="12" spans="1:5" s="93" customFormat="1">
      <c r="A12" s="114">
        <v>5</v>
      </c>
      <c r="B12" s="110" t="s">
        <v>124</v>
      </c>
      <c r="C12" s="151" t="s">
        <v>486</v>
      </c>
      <c r="D12" s="152"/>
      <c r="E12" s="122" t="e">
        <f>VLOOKUP(Table25751954[[#This Row],[PEG]],Table1016[#All],3,FALSE)</f>
        <v>#N/A</v>
      </c>
    </row>
    <row r="13" spans="1:5" s="93" customFormat="1" ht="30">
      <c r="A13" s="114">
        <v>6</v>
      </c>
      <c r="B13" s="110" t="s">
        <v>115</v>
      </c>
      <c r="C13" s="105" t="str">
        <f>VLOOKUP(Table25751954[[#This Row],[PEG]],Table1016[#All],2,FALSE)</f>
        <v>0300-1.wav You can say ownership changes, check status, make a payment, or help me with something else. Which would you like?</v>
      </c>
      <c r="D13" s="152">
        <v>300</v>
      </c>
      <c r="E13" s="122" t="str">
        <f>VLOOKUP(Table25751954[[#This Row],[PEG]],Table1016[#All],3,FALSE)</f>
        <v>MENU PROMPT</v>
      </c>
    </row>
    <row r="14" spans="1:5" s="93" customFormat="1">
      <c r="A14" s="114">
        <v>7</v>
      </c>
      <c r="B14" s="110" t="s">
        <v>124</v>
      </c>
      <c r="C14" s="151" t="s">
        <v>527</v>
      </c>
      <c r="D14" s="125"/>
      <c r="E14" s="122" t="e">
        <f>VLOOKUP(Table25751954[[#This Row],[PEG]],Table1016[#All],3,FALSE)</f>
        <v>#N/A</v>
      </c>
    </row>
    <row r="15" spans="1:5">
      <c r="A15" s="114">
        <v>8</v>
      </c>
      <c r="B15" s="110" t="s">
        <v>115</v>
      </c>
      <c r="C15" s="105" t="str">
        <f>VLOOKUP(Table25751954[[#This Row],[PEG]],Table1016[#All],2,FALSE)</f>
        <v>0200-1.wav To get started, what is your account number?</v>
      </c>
      <c r="D15" s="153">
        <v>200</v>
      </c>
      <c r="E15" s="122" t="str">
        <f>VLOOKUP(Table25751954[[#This Row],[PEG]],Table1016[#All],3,FALSE)</f>
        <v>MENU PROMPT</v>
      </c>
    </row>
    <row r="16" spans="1:5">
      <c r="A16" s="114">
        <v>9</v>
      </c>
      <c r="B16" s="110" t="s">
        <v>114</v>
      </c>
      <c r="C16" s="151" t="s">
        <v>515</v>
      </c>
      <c r="D16" s="112"/>
      <c r="E16" s="122" t="e">
        <f>VLOOKUP(Table25751954[[#This Row],[PEG]],Table1016[#All],3,FALSE)</f>
        <v>#N/A</v>
      </c>
    </row>
    <row r="17" spans="1:5">
      <c r="A17" s="114">
        <v>10</v>
      </c>
      <c r="B17" s="110" t="s">
        <v>115</v>
      </c>
      <c r="C17" s="105" t="str">
        <f>VLOOKUP(Table25751954[[#This Row],[PEG]],Table1016[#All],2,FALSE)</f>
        <v>0210-1.wav And the date of birth for the primary owner?</v>
      </c>
      <c r="D17" s="154">
        <v>210</v>
      </c>
      <c r="E17" s="122" t="str">
        <f>VLOOKUP(Table25751954[[#This Row],[PEG]],Table1016[#All],3,FALSE)</f>
        <v>MENU PROMPT</v>
      </c>
    </row>
    <row r="18" spans="1:5">
      <c r="A18" s="114">
        <v>11</v>
      </c>
      <c r="B18" s="110" t="s">
        <v>124</v>
      </c>
      <c r="C18" s="105" t="e">
        <f>VLOOKUP(Table25751954[[#This Row],[PEG]],Table1016[#All],2,FALSE)</f>
        <v>#N/A</v>
      </c>
      <c r="D18" s="113"/>
      <c r="E18" s="122" t="e">
        <f>VLOOKUP(Table25751954[[#This Row],[PEG]],Table1016[#All],3,FALSE)</f>
        <v>#N/A</v>
      </c>
    </row>
    <row r="19" spans="1:5" ht="45">
      <c r="A19" s="114">
        <v>12</v>
      </c>
      <c r="B19" s="110" t="s">
        <v>115</v>
      </c>
      <c r="C19" s="105" t="str">
        <f>VLOOKUP(Table25751954[[#This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54">
        <v>320</v>
      </c>
      <c r="E19" s="122" t="str">
        <f>VLOOKUP(Table25751954[[#This Row],[PEG]],Table1016[#All],3,FALSE)</f>
        <v>MENU PROMPT</v>
      </c>
    </row>
    <row r="20" spans="1:5">
      <c r="A20" s="114">
        <v>13</v>
      </c>
      <c r="B20" s="110" t="s">
        <v>124</v>
      </c>
      <c r="C20" s="151" t="s">
        <v>557</v>
      </c>
      <c r="D20" s="113"/>
      <c r="E20" s="122" t="e">
        <f>VLOOKUP(Table25751954[[#This Row],[PEG]],Table1016[#All],3,FALSE)</f>
        <v>#N/A</v>
      </c>
    </row>
    <row r="21" spans="1:5" ht="45">
      <c r="A21" s="114">
        <v>14</v>
      </c>
      <c r="B21" s="110" t="s">
        <v>115</v>
      </c>
      <c r="C21" s="105" t="str">
        <f>VLOOKUP(Table25751954[[#This Row],[PEG]],Table1016[#All],2,FALSE)</f>
        <v>Wyndham requires a $299 processing fee to update ownership and a new recorded deed   from the county where you own the property. We recommend that you use a   licensed professional to execute the document. Please send the information to   6277 Sea Harbor Drive, Orlando Florida 32821, attention, Ownership Change.</v>
      </c>
      <c r="D21" s="94" t="s">
        <v>239</v>
      </c>
      <c r="E21" s="122" t="str">
        <f>VLOOKUP(Table25751954[[#This Row],[PEG]],Table1016[#All],3,FALSE)</f>
        <v>PLAY PROMPT</v>
      </c>
    </row>
    <row r="22" spans="1:5" ht="30">
      <c r="A22" s="114">
        <v>15</v>
      </c>
      <c r="B22" s="110" t="s">
        <v>115</v>
      </c>
      <c r="C22" s="105" t="str">
        <f>VLOOKUP(Table25751954[[#This Row],[PEG]],Table1016[#All],2,FALSE)</f>
        <v>0330-1.wav To hear this information again, say repeat that. If you would like me to send you a letter with instructions to start the process, say information letter.</v>
      </c>
      <c r="D22" s="154">
        <v>330</v>
      </c>
      <c r="E22" s="122" t="str">
        <f>VLOOKUP(Table25751954[[#This Row],[PEG]],Table1016[#All],3,FALSE)</f>
        <v>MENU PROMPT</v>
      </c>
    </row>
    <row r="23" spans="1:5">
      <c r="A23" s="114">
        <v>16</v>
      </c>
      <c r="B23" s="110" t="s">
        <v>13</v>
      </c>
      <c r="C23" s="17" t="s">
        <v>13</v>
      </c>
      <c r="D23" s="111"/>
      <c r="E23" s="31"/>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6"/>
    </row>
    <row r="36" spans="3:3">
      <c r="C36" s="26"/>
    </row>
    <row r="37" spans="3:3">
      <c r="C37" s="26"/>
    </row>
  </sheetData>
  <mergeCells count="1">
    <mergeCell ref="A1:B1"/>
  </mergeCells>
  <conditionalFormatting sqref="C24:C9976">
    <cfRule type="expression" dxfId="3785" priority="61">
      <formula>$B24="Dial"</formula>
    </cfRule>
    <cfRule type="expression" dxfId="3784" priority="63">
      <formula>$B24="HANGUP"</formula>
    </cfRule>
  </conditionalFormatting>
  <conditionalFormatting sqref="B23">
    <cfRule type="containsText" dxfId="3783" priority="16" operator="containsText" text="Hear">
      <formula>NOT(ISERROR(SEARCH("Hear",B23)))</formula>
    </cfRule>
  </conditionalFormatting>
  <conditionalFormatting sqref="E23">
    <cfRule type="containsText" dxfId="3782" priority="24" operator="containsText" text="WEB SERVICE">
      <formula>NOT(ISERROR(SEARCH("WEB SERVICE",E23)))</formula>
    </cfRule>
    <cfRule type="containsText" dxfId="3781" priority="25" operator="containsText" text="DB">
      <formula>NOT(ISERROR(SEARCH("DB",E23)))</formula>
    </cfRule>
  </conditionalFormatting>
  <conditionalFormatting sqref="C23">
    <cfRule type="expression" dxfId="3780" priority="27">
      <formula>$B23="Dial"</formula>
    </cfRule>
    <cfRule type="expression" dxfId="3779" priority="29">
      <formula>$B23="HANGUP"</formula>
    </cfRule>
  </conditionalFormatting>
  <conditionalFormatting sqref="C23">
    <cfRule type="expression" dxfId="3778" priority="28">
      <formula>$B23="Speak"</formula>
    </cfRule>
  </conditionalFormatting>
  <conditionalFormatting sqref="B8">
    <cfRule type="containsText" dxfId="3777" priority="13" operator="containsText" text="Hear">
      <formula>NOT(ISERROR(SEARCH("Hear",B8)))</formula>
    </cfRule>
  </conditionalFormatting>
  <conditionalFormatting sqref="B20:B22">
    <cfRule type="containsText" dxfId="3776" priority="12" operator="containsText" text="Hear">
      <formula>NOT(ISERROR(SEARCH("Hear",B20)))</formula>
    </cfRule>
  </conditionalFormatting>
  <conditionalFormatting sqref="B18:B19">
    <cfRule type="containsText" dxfId="3775" priority="11" operator="containsText" text="Hear">
      <formula>NOT(ISERROR(SEARCH("Hear",B18)))</formula>
    </cfRule>
  </conditionalFormatting>
  <conditionalFormatting sqref="B9:B17">
    <cfRule type="containsText" dxfId="3774" priority="10" operator="containsText" text="Hear">
      <formula>NOT(ISERROR(SEARCH("Hear",B9)))</formula>
    </cfRule>
  </conditionalFormatting>
  <hyperlinks>
    <hyperlink ref="A1" location="'Test Case Overview'!A1" display="Return to Test Case Overview" xr:uid="{00000000-0004-0000-56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39" id="{ADB26CD8-B1A6-4C2A-B08F-6D0E90DF816E}">
            <xm:f>'TC1'!$B8="Speak"</xm:f>
            <x14:dxf>
              <font>
                <b/>
                <i val="0"/>
                <color rgb="FFFF0000"/>
              </font>
            </x14:dxf>
          </x14:cfRule>
          <xm:sqref>C8</xm:sqref>
        </x14:conditionalFormatting>
        <x14:conditionalFormatting xmlns:xm="http://schemas.microsoft.com/office/excel/2006/main">
          <x14:cfRule type="expression" priority="20" id="{C4DD9365-3A4B-461B-B988-C207C41E1612}">
            <xm:f>'TC1'!$B8="HANGUP"</xm:f>
            <x14:dxf>
              <font>
                <b/>
                <i val="0"/>
              </font>
            </x14:dxf>
          </x14:cfRule>
          <x14:cfRule type="expression" priority="21" id="{EF1FAB06-C5EE-47F3-8FB7-9DD3F284A116}">
            <xm:f>'TC1'!$B8="Dial"</xm:f>
            <x14:dxf>
              <font>
                <b/>
                <i val="0"/>
                <color rgb="FFFF0000"/>
              </font>
            </x14:dxf>
          </x14:cfRule>
          <xm:sqref>C8</xm:sqref>
        </x14:conditionalFormatting>
        <x14:conditionalFormatting xmlns:xm="http://schemas.microsoft.com/office/excel/2006/main">
          <x14:cfRule type="containsText" priority="19" operator="containsText" text="DB" id="{95610941-5892-49B1-9F5F-AA0C1E2FEE8A}">
            <xm:f>NOT(ISERROR(SEARCH("DB",'TC1'!E10)))</xm:f>
            <x14:dxf>
              <font>
                <color rgb="FF006100"/>
              </font>
              <fill>
                <patternFill>
                  <bgColor rgb="FFC6EFCE"/>
                </patternFill>
              </fill>
            </x14:dxf>
          </x14:cfRule>
          <x14:cfRule type="containsText" priority="23" operator="containsText" text="WEB SERVICE" id="{08AFDF46-8630-4960-9F9B-CB64DF0F40EC}">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1998" id="{ADB26CD8-B1A6-4C2A-B08F-6D0E90DF816E}">
            <xm:f>'TC1'!#REF!="Speak"</xm:f>
            <x14:dxf>
              <font>
                <b/>
                <i val="0"/>
                <color rgb="FFFF0000"/>
              </font>
            </x14:dxf>
          </x14:cfRule>
          <xm:sqref>C13 C15 C17:C22</xm:sqref>
        </x14:conditionalFormatting>
        <x14:conditionalFormatting xmlns:xm="http://schemas.microsoft.com/office/excel/2006/main">
          <x14:cfRule type="expression" priority="2004" id="{C4DD9365-3A4B-461B-B988-C207C41E1612}">
            <xm:f>'TC1'!#REF!="HANGUP"</xm:f>
            <x14:dxf>
              <font>
                <b/>
                <i val="0"/>
              </font>
            </x14:dxf>
          </x14:cfRule>
          <x14:cfRule type="expression" priority="2005" id="{EF1FAB06-C5EE-47F3-8FB7-9DD3F284A116}">
            <xm:f>'TC1'!#REF!="Dial"</xm:f>
            <x14:dxf>
              <font>
                <b/>
                <i val="0"/>
                <color rgb="FFFF0000"/>
              </font>
            </x14:dxf>
          </x14:cfRule>
          <xm:sqref>C13 C15 C17:C22</xm:sqref>
        </x14:conditionalFormatting>
        <x14:conditionalFormatting xmlns:xm="http://schemas.microsoft.com/office/excel/2006/main">
          <x14:cfRule type="containsText" priority="2012" operator="containsText" text="DB" id="{95610941-5892-49B1-9F5F-AA0C1E2FEE8A}">
            <xm:f>NOT(ISERROR(SEARCH("DB",'TC1'!#REF!)))</xm:f>
            <x14:dxf>
              <font>
                <color rgb="FF006100"/>
              </font>
              <fill>
                <patternFill>
                  <bgColor rgb="FFC6EFCE"/>
                </patternFill>
              </fill>
            </x14:dxf>
          </x14:cfRule>
          <x14:cfRule type="containsText" priority="2013" operator="containsText" text="WEB SERVICE" id="{08AFDF46-8630-4960-9F9B-CB64DF0F40EC}">
            <xm:f>NOT(ISERROR(SEARCH("WEB SERVICE",'TC1'!#REF!)))</xm:f>
            <x14:dxf>
              <font>
                <color rgb="FF9C0006"/>
              </font>
              <fill>
                <patternFill>
                  <bgColor rgb="FFFFC7CE"/>
                </patternFill>
              </fill>
            </x14:dxf>
          </x14:cfRule>
          <xm:sqref>E13:E22</xm:sqref>
        </x14:conditionalFormatting>
        <x14:conditionalFormatting xmlns:xm="http://schemas.microsoft.com/office/excel/2006/main">
          <x14:cfRule type="expression" priority="4057" id="{ADB26CD8-B1A6-4C2A-B08F-6D0E90DF816E}">
            <xm:f>'TC1'!$B10="Speak"</xm:f>
            <x14:dxf>
              <font>
                <b/>
                <i val="0"/>
                <color rgb="FFFF0000"/>
              </font>
            </x14:dxf>
          </x14:cfRule>
          <xm:sqref>C9:C11</xm:sqref>
        </x14:conditionalFormatting>
        <x14:conditionalFormatting xmlns:xm="http://schemas.microsoft.com/office/excel/2006/main">
          <x14:cfRule type="expression" priority="4060" id="{C4DD9365-3A4B-461B-B988-C207C41E1612}">
            <xm:f>'TC1'!$B10="HANGUP"</xm:f>
            <x14:dxf>
              <font>
                <b/>
                <i val="0"/>
              </font>
            </x14:dxf>
          </x14:cfRule>
          <x14:cfRule type="expression" priority="4061" id="{EF1FAB06-C5EE-47F3-8FB7-9DD3F284A116}">
            <xm:f>'TC1'!$B10="Dial"</xm:f>
            <x14:dxf>
              <font>
                <b/>
                <i val="0"/>
                <color rgb="FFFF0000"/>
              </font>
            </x14:dxf>
          </x14:cfRule>
          <xm:sqref>C9:C11</xm:sqref>
        </x14:conditionalFormatting>
        <x14:conditionalFormatting xmlns:xm="http://schemas.microsoft.com/office/excel/2006/main">
          <x14:cfRule type="expression" priority="7" id="{AC7A494C-DA79-4940-918E-98404B66A0D8}">
            <xm:f>'TC1'!#REF!="HANGUP"</xm:f>
            <x14:dxf>
              <font>
                <b/>
                <i val="0"/>
              </font>
            </x14:dxf>
          </x14:cfRule>
          <x14:cfRule type="expression" priority="8" id="{9AA2112D-24F0-4A2B-97C6-B21DD4DB66E3}">
            <xm:f>'TC1'!#REF!="Dial"</xm:f>
            <x14:dxf>
              <font>
                <b/>
                <i val="0"/>
                <color rgb="FFFF0000"/>
              </font>
            </x14:dxf>
          </x14:cfRule>
          <xm:sqref>C12</xm:sqref>
        </x14:conditionalFormatting>
        <x14:conditionalFormatting xmlns:xm="http://schemas.microsoft.com/office/excel/2006/main">
          <x14:cfRule type="expression" priority="9" id="{25710E11-307E-44CF-AB63-7C62F7AAAB6E}">
            <xm:f>'TC1'!#REF!="Speak"</xm:f>
            <x14:dxf>
              <font>
                <b/>
                <i val="0"/>
                <color rgb="FFFF0000"/>
              </font>
            </x14:dxf>
          </x14:cfRule>
          <xm:sqref>C12</xm:sqref>
        </x14:conditionalFormatting>
        <x14:conditionalFormatting xmlns:xm="http://schemas.microsoft.com/office/excel/2006/main">
          <x14:cfRule type="expression" priority="4" id="{C0B68E91-2465-4FD3-AEB1-85C91752C577}">
            <xm:f>'TC1'!#REF!="HANGUP"</xm:f>
            <x14:dxf>
              <font>
                <b/>
                <i val="0"/>
              </font>
            </x14:dxf>
          </x14:cfRule>
          <x14:cfRule type="expression" priority="5" id="{EA2BB3F0-83E6-4BC0-93A2-C19F7468B765}">
            <xm:f>'TC1'!#REF!="Dial"</xm:f>
            <x14:dxf>
              <font>
                <b/>
                <i val="0"/>
                <color rgb="FFFF0000"/>
              </font>
            </x14:dxf>
          </x14:cfRule>
          <xm:sqref>C14</xm:sqref>
        </x14:conditionalFormatting>
        <x14:conditionalFormatting xmlns:xm="http://schemas.microsoft.com/office/excel/2006/main">
          <x14:cfRule type="expression" priority="6" id="{BB44ECCA-BF59-46AB-8E41-011A9E271E53}">
            <xm:f>'TC1'!#REF!="Speak"</xm:f>
            <x14:dxf>
              <font>
                <b/>
                <i val="0"/>
                <color rgb="FFFF0000"/>
              </font>
            </x14:dxf>
          </x14:cfRule>
          <xm:sqref>C14</xm:sqref>
        </x14:conditionalFormatting>
        <x14:conditionalFormatting xmlns:xm="http://schemas.microsoft.com/office/excel/2006/main">
          <x14:cfRule type="expression" priority="1" id="{C973B406-1811-4387-A11E-2BEC26A41972}">
            <xm:f>'TC1'!#REF!="HANGUP"</xm:f>
            <x14:dxf>
              <font>
                <b/>
                <i val="0"/>
              </font>
            </x14:dxf>
          </x14:cfRule>
          <x14:cfRule type="expression" priority="2" id="{2C8DD106-BD99-435E-A888-DA1282BCC9D7}">
            <xm:f>'TC1'!#REF!="Dial"</xm:f>
            <x14:dxf>
              <font>
                <b/>
                <i val="0"/>
                <color rgb="FFFF0000"/>
              </font>
            </x14:dxf>
          </x14:cfRule>
          <xm:sqref>C16</xm:sqref>
        </x14:conditionalFormatting>
        <x14:conditionalFormatting xmlns:xm="http://schemas.microsoft.com/office/excel/2006/main">
          <x14:cfRule type="expression" priority="3" id="{87A38292-1964-44D2-B014-229CE1F09CE4}">
            <xm:f>'TC1'!#REF!="Speak"</xm:f>
            <x14:dxf>
              <font>
                <b/>
                <i val="0"/>
                <color rgb="FFFF0000"/>
              </font>
            </x14:dxf>
          </x14:cfRule>
          <xm:sqref>C16</xm:sqref>
        </x14:conditionalFormatting>
      </x14:conditionalFormattings>
    </ext>
  </extLst>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89"/>
  <dimension ref="A1:E38"/>
  <sheetViews>
    <sheetView zoomScaleNormal="100" workbookViewId="0">
      <selection activeCell="A23" sqref="A23"/>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TC87</v>
      </c>
    </row>
    <row r="3" spans="1:5">
      <c r="A3" s="100" t="s">
        <v>19</v>
      </c>
      <c r="B3" s="108">
        <f ca="1">VLOOKUP(B2,Table53[#All],2,FALSE)</f>
        <v>0</v>
      </c>
    </row>
    <row r="4" spans="1:5" ht="45">
      <c r="A4" s="109" t="s">
        <v>20</v>
      </c>
      <c r="B4" s="95" t="str">
        <f ca="1">VLOOKUP(B2,Table53[#All],4,FALSE)</f>
        <v>svcArea=titleSvcs, serviceType=chgOwnership, Not in progress or complete &lt;90days. 325-V-DF-E</v>
      </c>
      <c r="C4" s="94" t="s">
        <v>242</v>
      </c>
    </row>
    <row r="5" spans="1:5" ht="45">
      <c r="A5" s="100" t="s">
        <v>6</v>
      </c>
      <c r="B5" s="75" t="str">
        <f ca="1">VLOOKUP(B2,Table53[#All],3,FALSE)</f>
        <v xml:space="preserve">CallStart Main Menu /Title /Ownership changes/ID Auth=True/ change name at ChangeMenu/HU after hearing peg 0330 </v>
      </c>
    </row>
    <row r="7" spans="1:5" ht="15.75">
      <c r="A7" s="96" t="s">
        <v>7</v>
      </c>
      <c r="B7" s="97" t="s">
        <v>8</v>
      </c>
      <c r="C7" s="98" t="s">
        <v>9</v>
      </c>
      <c r="D7" s="98" t="s">
        <v>14</v>
      </c>
      <c r="E7" s="99" t="s">
        <v>10</v>
      </c>
    </row>
    <row r="8" spans="1:5">
      <c r="A8" s="114">
        <v>1</v>
      </c>
      <c r="B8" s="110" t="s">
        <v>114</v>
      </c>
      <c r="C8" s="105" t="s">
        <v>125</v>
      </c>
      <c r="D8" s="125"/>
      <c r="E8" s="122" t="s">
        <v>11</v>
      </c>
    </row>
    <row r="9" spans="1:5" s="93" customFormat="1">
      <c r="A9" s="114">
        <v>2</v>
      </c>
      <c r="B9" s="110" t="s">
        <v>115</v>
      </c>
      <c r="C9" s="105" t="str">
        <f>VLOOKUP(Table25751955[[#This Row],[PEG]],Table1016[#All],2,FALSE)</f>
        <v>CallID.wav Call ID &lt;CallID&gt;</v>
      </c>
      <c r="D9" s="152" t="s">
        <v>477</v>
      </c>
      <c r="E9" s="122" t="str">
        <f>VLOOKUP(Table25751955[[#This Row],[PEG]],Table1016[#All],3,FALSE)</f>
        <v>TEST</v>
      </c>
    </row>
    <row r="10" spans="1:5" s="93" customFormat="1" ht="30">
      <c r="A10" s="114">
        <v>3</v>
      </c>
      <c r="B10" s="110" t="s">
        <v>115</v>
      </c>
      <c r="C10" s="105" t="str">
        <f>VLOOKUP(Table25751955[[#This Row],[PEG]],Table1016[#All],2,FALSE)</f>
        <v>0100.wav Thank you for calling Shell vacations Club, we are glad you called. Please have your account number available for faster service. [To continue in Spanish, press 9]</v>
      </c>
      <c r="D10" s="152">
        <v>100</v>
      </c>
      <c r="E10" s="122" t="str">
        <f>VLOOKUP(Table25751955[[#This Row],[PEG]],Table1016[#All],3,FALSE)</f>
        <v>PLAY PROMPT</v>
      </c>
    </row>
    <row r="11" spans="1:5" s="93" customFormat="1" ht="30">
      <c r="A11" s="114">
        <v>4</v>
      </c>
      <c r="B11" s="110" t="s">
        <v>115</v>
      </c>
      <c r="C11" s="105" t="str">
        <f>VLOOKUP(Table25751955[[#This Row],[PEG]],Table1016[#All],2,FALSE)</f>
        <v>0110-1.wav Which would you like? You can say... reservations, payments &amp; statements, title &amp; ownership changes, or more options.</v>
      </c>
      <c r="D11" s="152">
        <v>110</v>
      </c>
      <c r="E11" s="122" t="str">
        <f>VLOOKUP(Table25751955[[#This Row],[PEG]],Table1016[#All],3,FALSE)</f>
        <v>MENU PROMPT</v>
      </c>
    </row>
    <row r="12" spans="1:5" s="93" customFormat="1">
      <c r="A12" s="114">
        <v>5</v>
      </c>
      <c r="B12" s="110" t="s">
        <v>124</v>
      </c>
      <c r="C12" s="151" t="s">
        <v>486</v>
      </c>
      <c r="D12" s="152"/>
      <c r="E12" s="122" t="e">
        <f>VLOOKUP(Table25751955[[#This Row],[PEG]],Table1016[#All],3,FALSE)</f>
        <v>#N/A</v>
      </c>
    </row>
    <row r="13" spans="1:5" s="93" customFormat="1" ht="30">
      <c r="A13" s="114">
        <v>6</v>
      </c>
      <c r="B13" s="110" t="s">
        <v>115</v>
      </c>
      <c r="C13" s="105" t="str">
        <f>VLOOKUP(Table25751955[[#This Row],[PEG]],Table1016[#All],2,FALSE)</f>
        <v>0300-1.wav You can say ownership changes, check status, make a payment, or help me with something else. Which would you like?</v>
      </c>
      <c r="D13" s="152">
        <v>300</v>
      </c>
      <c r="E13" s="122" t="str">
        <f>VLOOKUP(Table25751955[[#This Row],[PEG]],Table1016[#All],3,FALSE)</f>
        <v>MENU PROMPT</v>
      </c>
    </row>
    <row r="14" spans="1:5" s="93" customFormat="1">
      <c r="A14" s="114">
        <v>7</v>
      </c>
      <c r="B14" s="110" t="s">
        <v>124</v>
      </c>
      <c r="C14" s="151" t="s">
        <v>527</v>
      </c>
      <c r="D14" s="125"/>
      <c r="E14" s="122" t="e">
        <f>VLOOKUP(Table25751955[[#This Row],[PEG]],Table1016[#All],3,FALSE)</f>
        <v>#N/A</v>
      </c>
    </row>
    <row r="15" spans="1:5">
      <c r="A15" s="114">
        <v>8</v>
      </c>
      <c r="B15" s="110" t="s">
        <v>115</v>
      </c>
      <c r="C15" s="105" t="str">
        <f>VLOOKUP(Table25751955[[#This Row],[PEG]],Table1016[#All],2,FALSE)</f>
        <v>0200-1.wav To get started, what is your account number?</v>
      </c>
      <c r="D15" s="153">
        <v>200</v>
      </c>
      <c r="E15" s="122" t="str">
        <f>VLOOKUP(Table25751955[[#This Row],[PEG]],Table1016[#All],3,FALSE)</f>
        <v>MENU PROMPT</v>
      </c>
    </row>
    <row r="16" spans="1:5">
      <c r="A16" s="114">
        <v>9</v>
      </c>
      <c r="B16" s="110" t="s">
        <v>114</v>
      </c>
      <c r="C16" s="151" t="s">
        <v>515</v>
      </c>
      <c r="D16" s="112"/>
      <c r="E16" s="122" t="e">
        <f>VLOOKUP(Table25751955[[#This Row],[PEG]],Table1016[#All],3,FALSE)</f>
        <v>#N/A</v>
      </c>
    </row>
    <row r="17" spans="1:5">
      <c r="A17" s="114">
        <v>10</v>
      </c>
      <c r="B17" s="110" t="s">
        <v>115</v>
      </c>
      <c r="C17" s="105" t="str">
        <f>VLOOKUP(Table25751955[[#This Row],[PEG]],Table1016[#All],2,FALSE)</f>
        <v>0210-1.wav And the date of birth for the primary owner?</v>
      </c>
      <c r="D17" s="154">
        <v>210</v>
      </c>
      <c r="E17" s="122" t="str">
        <f>VLOOKUP(Table25751955[[#This Row],[PEG]],Table1016[#All],3,FALSE)</f>
        <v>MENU PROMPT</v>
      </c>
    </row>
    <row r="18" spans="1:5">
      <c r="A18" s="114">
        <v>11</v>
      </c>
      <c r="B18" s="110" t="s">
        <v>124</v>
      </c>
      <c r="C18" s="151" t="s">
        <v>524</v>
      </c>
      <c r="D18" s="113"/>
      <c r="E18" s="122" t="e">
        <f>VLOOKUP(Table25751955[[#This Row],[PEG]],Table1016[#All],3,FALSE)</f>
        <v>#N/A</v>
      </c>
    </row>
    <row r="19" spans="1:5" ht="45">
      <c r="A19" s="114">
        <v>12</v>
      </c>
      <c r="B19" s="110" t="s">
        <v>115</v>
      </c>
      <c r="C19" s="105" t="str">
        <f>VLOOKUP(Table25751955[[#This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54">
        <v>320</v>
      </c>
      <c r="E19" s="122" t="str">
        <f>VLOOKUP(Table25751955[[#This Row],[PEG]],Table1016[#All],3,FALSE)</f>
        <v>MENU PROMPT</v>
      </c>
    </row>
    <row r="20" spans="1:5">
      <c r="A20" s="114">
        <v>13</v>
      </c>
      <c r="B20" s="110" t="s">
        <v>124</v>
      </c>
      <c r="C20" s="151" t="s">
        <v>525</v>
      </c>
      <c r="D20" s="113"/>
      <c r="E20" s="122" t="e">
        <f>VLOOKUP(Table25751955[[#This Row],[PEG]],Table1016[#All],3,FALSE)</f>
        <v>#N/A</v>
      </c>
    </row>
    <row r="21" spans="1:5" ht="45">
      <c r="A21" s="114">
        <v>14</v>
      </c>
      <c r="B21" s="110" t="s">
        <v>115</v>
      </c>
      <c r="C21" s="105" t="str">
        <f>VLOOKUP(Table25751955[[#This Row],[PEG]],Table1016[#All],2,FALSE)</f>
        <v>Wyndham requires a new recorded deed from the county where you own the property. We recommend that you use a licensed professional to execute the document . Please send the copy of the new deed to 6277 Sea Harbor Drive, Orlando Florida 32821, attention, Ownership Change or via email to ownershipchange@wyn.com.</v>
      </c>
      <c r="D21" s="94" t="s">
        <v>242</v>
      </c>
      <c r="E21" s="122" t="str">
        <f>VLOOKUP(Table25751955[[#This Row],[PEG]],Table1016[#All],3,FALSE)</f>
        <v>PLAY PROMPT</v>
      </c>
    </row>
    <row r="22" spans="1:5" ht="30">
      <c r="A22" s="114">
        <v>15</v>
      </c>
      <c r="B22" s="110" t="s">
        <v>115</v>
      </c>
      <c r="C22" s="105" t="str">
        <f>VLOOKUP(Table25751955[[#This Row],[PEG]],Table1016[#All],2,FALSE)</f>
        <v>0330-1.wav To hear this information again, say repeat that. If you would like me to send you a letter with instructions to start the process, say information letter.</v>
      </c>
      <c r="D22" s="154">
        <v>330</v>
      </c>
      <c r="E22" s="122" t="str">
        <f>VLOOKUP(Table25751955[[#This Row],[PEG]],Table1016[#All],3,FALSE)</f>
        <v>MENU PROMPT</v>
      </c>
    </row>
    <row r="23" spans="1:5">
      <c r="A23" s="114">
        <v>16</v>
      </c>
      <c r="B23" s="110" t="s">
        <v>13</v>
      </c>
      <c r="C23" s="17" t="s">
        <v>13</v>
      </c>
      <c r="D23" s="111"/>
      <c r="E23" s="31"/>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6"/>
    </row>
    <row r="37" spans="3:3">
      <c r="C37" s="26"/>
    </row>
    <row r="38" spans="3:3">
      <c r="C38" s="26"/>
    </row>
  </sheetData>
  <mergeCells count="1">
    <mergeCell ref="A1:B1"/>
  </mergeCells>
  <conditionalFormatting sqref="C24:C9977">
    <cfRule type="expression" dxfId="3742" priority="67">
      <formula>$B24="Dial"</formula>
    </cfRule>
    <cfRule type="expression" dxfId="3741" priority="69">
      <formula>$B24="HANGUP"</formula>
    </cfRule>
  </conditionalFormatting>
  <conditionalFormatting sqref="B23">
    <cfRule type="containsText" dxfId="3740" priority="22" operator="containsText" text="Hear">
      <formula>NOT(ISERROR(SEARCH("Hear",B23)))</formula>
    </cfRule>
  </conditionalFormatting>
  <conditionalFormatting sqref="E23">
    <cfRule type="containsText" dxfId="3739" priority="30" operator="containsText" text="WEB SERVICE">
      <formula>NOT(ISERROR(SEARCH("WEB SERVICE",E23)))</formula>
    </cfRule>
    <cfRule type="containsText" dxfId="3738" priority="31" operator="containsText" text="DB">
      <formula>NOT(ISERROR(SEARCH("DB",E23)))</formula>
    </cfRule>
  </conditionalFormatting>
  <conditionalFormatting sqref="C23">
    <cfRule type="expression" dxfId="3737" priority="33">
      <formula>$B23="Dial"</formula>
    </cfRule>
    <cfRule type="expression" dxfId="3736" priority="35">
      <formula>$B23="HANGUP"</formula>
    </cfRule>
  </conditionalFormatting>
  <conditionalFormatting sqref="C23">
    <cfRule type="expression" dxfId="3735" priority="34">
      <formula>$B23="Speak"</formula>
    </cfRule>
  </conditionalFormatting>
  <conditionalFormatting sqref="B8">
    <cfRule type="containsText" dxfId="3734" priority="19" operator="containsText" text="Hear">
      <formula>NOT(ISERROR(SEARCH("Hear",B8)))</formula>
    </cfRule>
  </conditionalFormatting>
  <conditionalFormatting sqref="B20:B22">
    <cfRule type="containsText" dxfId="3733" priority="18" operator="containsText" text="Hear">
      <formula>NOT(ISERROR(SEARCH("Hear",B20)))</formula>
    </cfRule>
  </conditionalFormatting>
  <conditionalFormatting sqref="B18:B19">
    <cfRule type="containsText" dxfId="3732" priority="17" operator="containsText" text="Hear">
      <formula>NOT(ISERROR(SEARCH("Hear",B18)))</formula>
    </cfRule>
  </conditionalFormatting>
  <conditionalFormatting sqref="B9:B17">
    <cfRule type="containsText" dxfId="3731" priority="16" operator="containsText" text="Hear">
      <formula>NOT(ISERROR(SEARCH("Hear",B9)))</formula>
    </cfRule>
  </conditionalFormatting>
  <hyperlinks>
    <hyperlink ref="A1" location="'Test Case Overview'!A1" display="Return to Test Case Overview" xr:uid="{00000000-0004-0000-57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45" id="{0CC60EF7-76A1-493B-9943-28E8455A76AE}">
            <xm:f>'TC1'!$B8="Speak"</xm:f>
            <x14:dxf>
              <font>
                <b/>
                <i val="0"/>
                <color rgb="FFFF0000"/>
              </font>
            </x14:dxf>
          </x14:cfRule>
          <xm:sqref>C8</xm:sqref>
        </x14:conditionalFormatting>
        <x14:conditionalFormatting xmlns:xm="http://schemas.microsoft.com/office/excel/2006/main">
          <x14:cfRule type="expression" priority="26" id="{3ECA9EFE-49B4-4E2D-BAFE-06AFA3FDB570}">
            <xm:f>'TC1'!$B8="HANGUP"</xm:f>
            <x14:dxf>
              <font>
                <b/>
                <i val="0"/>
              </font>
            </x14:dxf>
          </x14:cfRule>
          <x14:cfRule type="expression" priority="27" id="{C6DB73E6-0B80-4A3E-A6D4-74EE2536C9D7}">
            <xm:f>'TC1'!$B8="Dial"</xm:f>
            <x14:dxf>
              <font>
                <b/>
                <i val="0"/>
                <color rgb="FFFF0000"/>
              </font>
            </x14:dxf>
          </x14:cfRule>
          <xm:sqref>C8</xm:sqref>
        </x14:conditionalFormatting>
        <x14:conditionalFormatting xmlns:xm="http://schemas.microsoft.com/office/excel/2006/main">
          <x14:cfRule type="containsText" priority="25" operator="containsText" text="DB" id="{F6A02115-35D8-44A4-A016-F9C6AC18BCBF}">
            <xm:f>NOT(ISERROR(SEARCH("DB",'TC1'!E10)))</xm:f>
            <x14:dxf>
              <font>
                <color rgb="FF006100"/>
              </font>
              <fill>
                <patternFill>
                  <bgColor rgb="FFC6EFCE"/>
                </patternFill>
              </fill>
            </x14:dxf>
          </x14:cfRule>
          <x14:cfRule type="containsText" priority="29" operator="containsText" text="WEB SERVICE" id="{245F380B-1A7E-4926-90F7-6CAB8A7F6CA8}">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2024" id="{0CC60EF7-76A1-493B-9943-28E8455A76AE}">
            <xm:f>'TC1'!#REF!="Speak"</xm:f>
            <x14:dxf>
              <font>
                <b/>
                <i val="0"/>
                <color rgb="FFFF0000"/>
              </font>
            </x14:dxf>
          </x14:cfRule>
          <xm:sqref>C13 C15 C17 C19 C21:C22</xm:sqref>
        </x14:conditionalFormatting>
        <x14:conditionalFormatting xmlns:xm="http://schemas.microsoft.com/office/excel/2006/main">
          <x14:cfRule type="expression" priority="2030" id="{3ECA9EFE-49B4-4E2D-BAFE-06AFA3FDB570}">
            <xm:f>'TC1'!#REF!="HANGUP"</xm:f>
            <x14:dxf>
              <font>
                <b/>
                <i val="0"/>
              </font>
            </x14:dxf>
          </x14:cfRule>
          <x14:cfRule type="expression" priority="2031" id="{C6DB73E6-0B80-4A3E-A6D4-74EE2536C9D7}">
            <xm:f>'TC1'!#REF!="Dial"</xm:f>
            <x14:dxf>
              <font>
                <b/>
                <i val="0"/>
                <color rgb="FFFF0000"/>
              </font>
            </x14:dxf>
          </x14:cfRule>
          <xm:sqref>C13 C15 C17 C19 C21:C22</xm:sqref>
        </x14:conditionalFormatting>
        <x14:conditionalFormatting xmlns:xm="http://schemas.microsoft.com/office/excel/2006/main">
          <x14:cfRule type="containsText" priority="2038" operator="containsText" text="DB" id="{F6A02115-35D8-44A4-A016-F9C6AC18BCBF}">
            <xm:f>NOT(ISERROR(SEARCH("DB",'TC1'!#REF!)))</xm:f>
            <x14:dxf>
              <font>
                <color rgb="FF006100"/>
              </font>
              <fill>
                <patternFill>
                  <bgColor rgb="FFC6EFCE"/>
                </patternFill>
              </fill>
            </x14:dxf>
          </x14:cfRule>
          <x14:cfRule type="containsText" priority="2039" operator="containsText" text="WEB SERVICE" id="{245F380B-1A7E-4926-90F7-6CAB8A7F6CA8}">
            <xm:f>NOT(ISERROR(SEARCH("WEB SERVICE",'TC1'!#REF!)))</xm:f>
            <x14:dxf>
              <font>
                <color rgb="FF9C0006"/>
              </font>
              <fill>
                <patternFill>
                  <bgColor rgb="FFFFC7CE"/>
                </patternFill>
              </fill>
            </x14:dxf>
          </x14:cfRule>
          <xm:sqref>E13:E22</xm:sqref>
        </x14:conditionalFormatting>
        <x14:conditionalFormatting xmlns:xm="http://schemas.microsoft.com/office/excel/2006/main">
          <x14:cfRule type="expression" priority="4071" id="{0CC60EF7-76A1-493B-9943-28E8455A76AE}">
            <xm:f>'TC1'!$B10="Speak"</xm:f>
            <x14:dxf>
              <font>
                <b/>
                <i val="0"/>
                <color rgb="FFFF0000"/>
              </font>
            </x14:dxf>
          </x14:cfRule>
          <xm:sqref>C9:C11</xm:sqref>
        </x14:conditionalFormatting>
        <x14:conditionalFormatting xmlns:xm="http://schemas.microsoft.com/office/excel/2006/main">
          <x14:cfRule type="expression" priority="4074" id="{3ECA9EFE-49B4-4E2D-BAFE-06AFA3FDB570}">
            <xm:f>'TC1'!$B10="HANGUP"</xm:f>
            <x14:dxf>
              <font>
                <b/>
                <i val="0"/>
              </font>
            </x14:dxf>
          </x14:cfRule>
          <x14:cfRule type="expression" priority="4075" id="{C6DB73E6-0B80-4A3E-A6D4-74EE2536C9D7}">
            <xm:f>'TC1'!$B10="Dial"</xm:f>
            <x14:dxf>
              <font>
                <b/>
                <i val="0"/>
                <color rgb="FFFF0000"/>
              </font>
            </x14:dxf>
          </x14:cfRule>
          <xm:sqref>C9:C11</xm:sqref>
        </x14:conditionalFormatting>
        <x14:conditionalFormatting xmlns:xm="http://schemas.microsoft.com/office/excel/2006/main">
          <x14:cfRule type="expression" priority="13" id="{569CC561-FEC3-49F1-8A97-15FDDC67D547}">
            <xm:f>'TC1'!#REF!="HANGUP"</xm:f>
            <x14:dxf>
              <font>
                <b/>
                <i val="0"/>
              </font>
            </x14:dxf>
          </x14:cfRule>
          <x14:cfRule type="expression" priority="14" id="{8EFF8D86-33B4-484D-A63D-33B34334F678}">
            <xm:f>'TC1'!#REF!="Dial"</xm:f>
            <x14:dxf>
              <font>
                <b/>
                <i val="0"/>
                <color rgb="FFFF0000"/>
              </font>
            </x14:dxf>
          </x14:cfRule>
          <xm:sqref>C12</xm:sqref>
        </x14:conditionalFormatting>
        <x14:conditionalFormatting xmlns:xm="http://schemas.microsoft.com/office/excel/2006/main">
          <x14:cfRule type="expression" priority="15" id="{2D14FA7E-CFA3-43BC-8A72-223AAC49194C}">
            <xm:f>'TC1'!#REF!="Speak"</xm:f>
            <x14:dxf>
              <font>
                <b/>
                <i val="0"/>
                <color rgb="FFFF0000"/>
              </font>
            </x14:dxf>
          </x14:cfRule>
          <xm:sqref>C12</xm:sqref>
        </x14:conditionalFormatting>
        <x14:conditionalFormatting xmlns:xm="http://schemas.microsoft.com/office/excel/2006/main">
          <x14:cfRule type="expression" priority="10" id="{896C9058-3FFD-4E4A-8D44-CA2CCF1A7E96}">
            <xm:f>'TC1'!#REF!="HANGUP"</xm:f>
            <x14:dxf>
              <font>
                <b/>
                <i val="0"/>
              </font>
            </x14:dxf>
          </x14:cfRule>
          <x14:cfRule type="expression" priority="11" id="{99819DBC-99EF-43A6-94DC-65E14F637E14}">
            <xm:f>'TC1'!#REF!="Dial"</xm:f>
            <x14:dxf>
              <font>
                <b/>
                <i val="0"/>
                <color rgb="FFFF0000"/>
              </font>
            </x14:dxf>
          </x14:cfRule>
          <xm:sqref>C14</xm:sqref>
        </x14:conditionalFormatting>
        <x14:conditionalFormatting xmlns:xm="http://schemas.microsoft.com/office/excel/2006/main">
          <x14:cfRule type="expression" priority="12" id="{215DBA2B-C1B4-4A77-85B2-C0B95B5DDE68}">
            <xm:f>'TC1'!#REF!="Speak"</xm:f>
            <x14:dxf>
              <font>
                <b/>
                <i val="0"/>
                <color rgb="FFFF0000"/>
              </font>
            </x14:dxf>
          </x14:cfRule>
          <xm:sqref>C14</xm:sqref>
        </x14:conditionalFormatting>
        <x14:conditionalFormatting xmlns:xm="http://schemas.microsoft.com/office/excel/2006/main">
          <x14:cfRule type="expression" priority="7" id="{CA37B377-EEE5-488E-BB03-2CC5B110F279}">
            <xm:f>'TC1'!#REF!="HANGUP"</xm:f>
            <x14:dxf>
              <font>
                <b/>
                <i val="0"/>
              </font>
            </x14:dxf>
          </x14:cfRule>
          <x14:cfRule type="expression" priority="8" id="{EB4E6248-B7BA-461F-B806-8D5C772B02CC}">
            <xm:f>'TC1'!#REF!="Dial"</xm:f>
            <x14:dxf>
              <font>
                <b/>
                <i val="0"/>
                <color rgb="FFFF0000"/>
              </font>
            </x14:dxf>
          </x14:cfRule>
          <xm:sqref>C16</xm:sqref>
        </x14:conditionalFormatting>
        <x14:conditionalFormatting xmlns:xm="http://schemas.microsoft.com/office/excel/2006/main">
          <x14:cfRule type="expression" priority="9" id="{727CA45E-3941-404E-920C-F4237A03FFBE}">
            <xm:f>'TC1'!#REF!="Speak"</xm:f>
            <x14:dxf>
              <font>
                <b/>
                <i val="0"/>
                <color rgb="FFFF0000"/>
              </font>
            </x14:dxf>
          </x14:cfRule>
          <xm:sqref>C16</xm:sqref>
        </x14:conditionalFormatting>
        <x14:conditionalFormatting xmlns:xm="http://schemas.microsoft.com/office/excel/2006/main">
          <x14:cfRule type="expression" priority="4" id="{03969D8D-74D2-40E8-9AB3-CCEA22795400}">
            <xm:f>'TC1'!#REF!="HANGUP"</xm:f>
            <x14:dxf>
              <font>
                <b/>
                <i val="0"/>
              </font>
            </x14:dxf>
          </x14:cfRule>
          <x14:cfRule type="expression" priority="5" id="{6CF9EE1E-EE3F-4387-9D11-D6F4C36A6383}">
            <xm:f>'TC1'!#REF!="Dial"</xm:f>
            <x14:dxf>
              <font>
                <b/>
                <i val="0"/>
                <color rgb="FFFF0000"/>
              </font>
            </x14:dxf>
          </x14:cfRule>
          <xm:sqref>C18</xm:sqref>
        </x14:conditionalFormatting>
        <x14:conditionalFormatting xmlns:xm="http://schemas.microsoft.com/office/excel/2006/main">
          <x14:cfRule type="expression" priority="6" id="{0B9EEF9F-3915-4411-83FA-B7EA2D5264F1}">
            <xm:f>'TC1'!#REF!="Speak"</xm:f>
            <x14:dxf>
              <font>
                <b/>
                <i val="0"/>
                <color rgb="FFFF0000"/>
              </font>
            </x14:dxf>
          </x14:cfRule>
          <xm:sqref>C18</xm:sqref>
        </x14:conditionalFormatting>
        <x14:conditionalFormatting xmlns:xm="http://schemas.microsoft.com/office/excel/2006/main">
          <x14:cfRule type="expression" priority="1" id="{EF29AB0E-804A-42CE-AC10-321840061913}">
            <xm:f>'TC1'!#REF!="HANGUP"</xm:f>
            <x14:dxf>
              <font>
                <b/>
                <i val="0"/>
              </font>
            </x14:dxf>
          </x14:cfRule>
          <x14:cfRule type="expression" priority="2" id="{3DF820F8-30F1-468B-B322-57D55606A963}">
            <xm:f>'TC1'!#REF!="Dial"</xm:f>
            <x14:dxf>
              <font>
                <b/>
                <i val="0"/>
                <color rgb="FFFF0000"/>
              </font>
            </x14:dxf>
          </x14:cfRule>
          <xm:sqref>C20</xm:sqref>
        </x14:conditionalFormatting>
        <x14:conditionalFormatting xmlns:xm="http://schemas.microsoft.com/office/excel/2006/main">
          <x14:cfRule type="expression" priority="3" id="{E1ED0391-4074-4543-8673-B6A3CD353197}">
            <xm:f>'TC1'!#REF!="Speak"</xm:f>
            <x14:dxf>
              <font>
                <b/>
                <i val="0"/>
                <color rgb="FFFF0000"/>
              </font>
            </x14:dxf>
          </x14:cfRule>
          <xm:sqref>C20</xm:sqref>
        </x14:conditionalFormatting>
      </x14:conditionalFormattings>
    </ext>
  </extLst>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0"/>
  <dimension ref="A1:E36"/>
  <sheetViews>
    <sheetView zoomScaleNormal="100" workbookViewId="0">
      <selection activeCell="A23" sqref="A23"/>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TC88</v>
      </c>
    </row>
    <row r="3" spans="1:5">
      <c r="A3" s="100" t="s">
        <v>19</v>
      </c>
      <c r="B3" s="108">
        <f ca="1">VLOOKUP(B2,Table53[#All],2,FALSE)</f>
        <v>0</v>
      </c>
    </row>
    <row r="4" spans="1:5" ht="45">
      <c r="A4" s="109" t="s">
        <v>20</v>
      </c>
      <c r="B4" s="95" t="str">
        <f ca="1">VLOOKUP(B2,Table53[#All],4,FALSE)</f>
        <v>svcArea=titleSvcs, serviceType=chgOwner, Not in progress or complete &lt;90days. 325-V-ND-R</v>
      </c>
      <c r="C4" s="94" t="s">
        <v>244</v>
      </c>
    </row>
    <row r="5" spans="1:5" ht="45">
      <c r="A5" s="100" t="s">
        <v>6</v>
      </c>
      <c r="B5" s="75" t="str">
        <f ca="1">VLOOKUP(B2,Table53[#All],3,FALSE)</f>
        <v xml:space="preserve">CallStart Main Menu /Title /Ownership changes/ID Auth=True/ remove owner at ChangeMenu/HU after hearing peg 0330 </v>
      </c>
    </row>
    <row r="7" spans="1:5" ht="15.75">
      <c r="A7" s="96" t="s">
        <v>7</v>
      </c>
      <c r="B7" s="97" t="s">
        <v>8</v>
      </c>
      <c r="C7" s="98" t="s">
        <v>9</v>
      </c>
      <c r="D7" s="98" t="s">
        <v>14</v>
      </c>
      <c r="E7" s="99" t="s">
        <v>10</v>
      </c>
    </row>
    <row r="8" spans="1:5">
      <c r="A8" s="114">
        <v>1</v>
      </c>
      <c r="B8" s="110" t="s">
        <v>114</v>
      </c>
      <c r="C8" s="105" t="s">
        <v>125</v>
      </c>
      <c r="D8" s="125"/>
      <c r="E8" s="122" t="s">
        <v>11</v>
      </c>
    </row>
    <row r="9" spans="1:5" s="93" customFormat="1">
      <c r="A9" s="114">
        <v>2</v>
      </c>
      <c r="B9" s="110" t="s">
        <v>115</v>
      </c>
      <c r="C9" s="105" t="str">
        <f>VLOOKUP(Table25751975[[#This Row],[PEG]],Table1016[#All],2,FALSE)</f>
        <v>CallID.wav Call ID &lt;CallID&gt;</v>
      </c>
      <c r="D9" s="152" t="s">
        <v>477</v>
      </c>
      <c r="E9" s="122" t="str">
        <f>VLOOKUP(Table25751975[[#This Row],[PEG]],Table1016[#All],3,FALSE)</f>
        <v>TEST</v>
      </c>
    </row>
    <row r="10" spans="1:5" s="93" customFormat="1" ht="30">
      <c r="A10" s="114">
        <v>3</v>
      </c>
      <c r="B10" s="110" t="s">
        <v>115</v>
      </c>
      <c r="C10" s="105" t="str">
        <f>VLOOKUP(Table25751975[[#This Row],[PEG]],Table1016[#All],2,FALSE)</f>
        <v>0100.wav Thank you for calling Shell vacations Club, we are glad you called. Please have your account number available for faster service. [To continue in Spanish, press 9]</v>
      </c>
      <c r="D10" s="152">
        <v>100</v>
      </c>
      <c r="E10" s="122" t="str">
        <f>VLOOKUP(Table25751975[[#This Row],[PEG]],Table1016[#All],3,FALSE)</f>
        <v>PLAY PROMPT</v>
      </c>
    </row>
    <row r="11" spans="1:5" s="93" customFormat="1" ht="30">
      <c r="A11" s="114">
        <v>4</v>
      </c>
      <c r="B11" s="110" t="s">
        <v>115</v>
      </c>
      <c r="C11" s="105" t="str">
        <f>VLOOKUP(Table25751975[[#This Row],[PEG]],Table1016[#All],2,FALSE)</f>
        <v>0110-1.wav Which would you like? You can say... reservations, payments &amp; statements, title &amp; ownership changes, or more options.</v>
      </c>
      <c r="D11" s="152">
        <v>110</v>
      </c>
      <c r="E11" s="122" t="str">
        <f>VLOOKUP(Table25751975[[#This Row],[PEG]],Table1016[#All],3,FALSE)</f>
        <v>MENU PROMPT</v>
      </c>
    </row>
    <row r="12" spans="1:5" s="93" customFormat="1">
      <c r="A12" s="114">
        <v>5</v>
      </c>
      <c r="B12" s="110" t="s">
        <v>124</v>
      </c>
      <c r="C12" s="151" t="s">
        <v>486</v>
      </c>
      <c r="D12" s="152"/>
      <c r="E12" s="122" t="e">
        <f>VLOOKUP(Table25751975[[#This Row],[PEG]],Table1016[#All],3,FALSE)</f>
        <v>#N/A</v>
      </c>
    </row>
    <row r="13" spans="1:5" s="93" customFormat="1" ht="30">
      <c r="A13" s="114">
        <v>6</v>
      </c>
      <c r="B13" s="110" t="s">
        <v>115</v>
      </c>
      <c r="C13" s="105" t="str">
        <f>VLOOKUP(Table25751975[[#This Row],[PEG]],Table1016[#All],2,FALSE)</f>
        <v>0300-1.wav You can say ownership changes, check status, make a payment, or help me with something else. Which would you like?</v>
      </c>
      <c r="D13" s="152">
        <v>300</v>
      </c>
      <c r="E13" s="122" t="str">
        <f>VLOOKUP(Table25751975[[#This Row],[PEG]],Table1016[#All],3,FALSE)</f>
        <v>MENU PROMPT</v>
      </c>
    </row>
    <row r="14" spans="1:5" s="93" customFormat="1">
      <c r="A14" s="114">
        <v>7</v>
      </c>
      <c r="B14" s="110" t="s">
        <v>124</v>
      </c>
      <c r="C14" s="151" t="s">
        <v>527</v>
      </c>
      <c r="D14" s="125"/>
      <c r="E14" s="122" t="e">
        <f>VLOOKUP(Table25751975[[#This Row],[PEG]],Table1016[#All],3,FALSE)</f>
        <v>#N/A</v>
      </c>
    </row>
    <row r="15" spans="1:5">
      <c r="A15" s="114">
        <v>8</v>
      </c>
      <c r="B15" s="110" t="s">
        <v>115</v>
      </c>
      <c r="C15" s="105" t="str">
        <f>VLOOKUP(Table25751975[[#This Row],[PEG]],Table1016[#All],2,FALSE)</f>
        <v>0200-1.wav To get started, what is your account number?</v>
      </c>
      <c r="D15" s="153">
        <v>200</v>
      </c>
      <c r="E15" s="122" t="str">
        <f>VLOOKUP(Table25751975[[#This Row],[PEG]],Table1016[#All],3,FALSE)</f>
        <v>MENU PROMPT</v>
      </c>
    </row>
    <row r="16" spans="1:5">
      <c r="A16" s="114">
        <v>9</v>
      </c>
      <c r="B16" s="110" t="s">
        <v>114</v>
      </c>
      <c r="C16" s="151" t="s">
        <v>515</v>
      </c>
      <c r="D16" s="112"/>
      <c r="E16" s="122" t="e">
        <f>VLOOKUP(Table25751975[[#This Row],[PEG]],Table1016[#All],3,FALSE)</f>
        <v>#N/A</v>
      </c>
    </row>
    <row r="17" spans="1:5">
      <c r="A17" s="114">
        <v>10</v>
      </c>
      <c r="B17" s="110" t="s">
        <v>115</v>
      </c>
      <c r="C17" s="105" t="str">
        <f>VLOOKUP(Table25751975[[#This Row],[PEG]],Table1016[#All],2,FALSE)</f>
        <v>0210-1.wav And the date of birth for the primary owner?</v>
      </c>
      <c r="D17" s="154">
        <v>210</v>
      </c>
      <c r="E17" s="122" t="str">
        <f>VLOOKUP(Table25751975[[#This Row],[PEG]],Table1016[#All],3,FALSE)</f>
        <v>MENU PROMPT</v>
      </c>
    </row>
    <row r="18" spans="1:5">
      <c r="A18" s="114">
        <v>11</v>
      </c>
      <c r="B18" s="110" t="s">
        <v>124</v>
      </c>
      <c r="C18" s="151" t="s">
        <v>524</v>
      </c>
      <c r="D18" s="113"/>
      <c r="E18" s="122" t="e">
        <f>VLOOKUP(Table25751975[[#This Row],[PEG]],Table1016[#All],3,FALSE)</f>
        <v>#N/A</v>
      </c>
    </row>
    <row r="19" spans="1:5" ht="45">
      <c r="A19" s="114">
        <v>12</v>
      </c>
      <c r="B19" s="110" t="s">
        <v>115</v>
      </c>
      <c r="C19" s="105" t="str">
        <f>VLOOKUP(Table25751975[[#This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54">
        <v>320</v>
      </c>
      <c r="E19" s="122" t="str">
        <f>VLOOKUP(Table25751975[[#This Row],[PEG]],Table1016[#All],3,FALSE)</f>
        <v>MENU PROMPT</v>
      </c>
    </row>
    <row r="20" spans="1:5">
      <c r="A20" s="114">
        <v>13</v>
      </c>
      <c r="B20" s="110" t="s">
        <v>124</v>
      </c>
      <c r="C20" s="151" t="s">
        <v>558</v>
      </c>
      <c r="D20" s="113"/>
      <c r="E20" s="122" t="e">
        <f>VLOOKUP(Table25751975[[#This Row],[PEG]],Table1016[#All],3,FALSE)</f>
        <v>#N/A</v>
      </c>
    </row>
    <row r="21" spans="1:5" ht="75">
      <c r="A21" s="114">
        <v>14</v>
      </c>
      <c r="B21" s="110" t="s">
        <v>115</v>
      </c>
      <c r="C21" s="105" t="str">
        <f>VLOOKUP(Table25751975[[#This Row],[PEG]],Table1016[#All],2,FALSE)</f>
        <v>Wyndham requires a $299 processing fee to update ownership, in addition, a written request with the name of the owner being removed must be submitted. Please send the information to 6277 Sea Harbor Drive, Orlando Florida 32821, attention, Ownership Change. Once the information and fee is received, Wyndham will send removal paperwork to be signed in front of a notary and returned. In the event of a divorce, Wyndham will not require a fee but will require supporting documentation to be mailed to the same address.</v>
      </c>
      <c r="D21" s="94" t="s">
        <v>244</v>
      </c>
      <c r="E21" s="122" t="str">
        <f>VLOOKUP(Table25751975[[#This Row],[PEG]],Table1016[#All],3,FALSE)</f>
        <v>PLAY PROMPT</v>
      </c>
    </row>
    <row r="22" spans="1:5" ht="30">
      <c r="A22" s="114">
        <v>15</v>
      </c>
      <c r="B22" s="110" t="s">
        <v>115</v>
      </c>
      <c r="C22" s="105" t="str">
        <f>VLOOKUP(Table25751975[[#This Row],[PEG]],Table1016[#All],2,FALSE)</f>
        <v>0330-1.wav To hear this information again, say repeat that. If you would like me to send you a letter with instructions to start the process, say information letter.</v>
      </c>
      <c r="D22" s="154">
        <v>330</v>
      </c>
      <c r="E22" s="122" t="str">
        <f>VLOOKUP(Table25751975[[#This Row],[PEG]],Table1016[#All],3,FALSE)</f>
        <v>MENU PROMPT</v>
      </c>
    </row>
    <row r="23" spans="1:5">
      <c r="A23" s="114">
        <v>16</v>
      </c>
      <c r="B23" s="110" t="s">
        <v>13</v>
      </c>
      <c r="C23" s="17" t="s">
        <v>13</v>
      </c>
      <c r="D23" s="111"/>
      <c r="E23" s="31"/>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6"/>
    </row>
    <row r="35" spans="3:3">
      <c r="C35" s="26"/>
    </row>
    <row r="36" spans="3:3">
      <c r="C36" s="26"/>
    </row>
  </sheetData>
  <mergeCells count="1">
    <mergeCell ref="A1:B1"/>
  </mergeCells>
  <conditionalFormatting sqref="C24:C9975">
    <cfRule type="expression" dxfId="3693" priority="64">
      <formula>$B24="Dial"</formula>
    </cfRule>
    <cfRule type="expression" dxfId="3692" priority="66">
      <formula>$B24="HANGUP"</formula>
    </cfRule>
  </conditionalFormatting>
  <conditionalFormatting sqref="B23">
    <cfRule type="containsText" dxfId="3691" priority="19" operator="containsText" text="Hear">
      <formula>NOT(ISERROR(SEARCH("Hear",B23)))</formula>
    </cfRule>
  </conditionalFormatting>
  <conditionalFormatting sqref="E23">
    <cfRule type="containsText" dxfId="3690" priority="27" operator="containsText" text="WEB SERVICE">
      <formula>NOT(ISERROR(SEARCH("WEB SERVICE",E23)))</formula>
    </cfRule>
    <cfRule type="containsText" dxfId="3689" priority="28" operator="containsText" text="DB">
      <formula>NOT(ISERROR(SEARCH("DB",E23)))</formula>
    </cfRule>
  </conditionalFormatting>
  <conditionalFormatting sqref="C23">
    <cfRule type="expression" dxfId="3688" priority="30">
      <formula>$B23="Dial"</formula>
    </cfRule>
    <cfRule type="expression" dxfId="3687" priority="32">
      <formula>$B23="HANGUP"</formula>
    </cfRule>
  </conditionalFormatting>
  <conditionalFormatting sqref="C23">
    <cfRule type="expression" dxfId="3686" priority="31">
      <formula>$B23="Speak"</formula>
    </cfRule>
  </conditionalFormatting>
  <conditionalFormatting sqref="B8">
    <cfRule type="containsText" dxfId="3685" priority="16" operator="containsText" text="Hear">
      <formula>NOT(ISERROR(SEARCH("Hear",B8)))</formula>
    </cfRule>
  </conditionalFormatting>
  <conditionalFormatting sqref="B20:B22">
    <cfRule type="containsText" dxfId="3684" priority="15" operator="containsText" text="Hear">
      <formula>NOT(ISERROR(SEARCH("Hear",B20)))</formula>
    </cfRule>
  </conditionalFormatting>
  <conditionalFormatting sqref="B18:B19">
    <cfRule type="containsText" dxfId="3683" priority="14" operator="containsText" text="Hear">
      <formula>NOT(ISERROR(SEARCH("Hear",B18)))</formula>
    </cfRule>
  </conditionalFormatting>
  <conditionalFormatting sqref="B9:B17">
    <cfRule type="containsText" dxfId="3682" priority="13" operator="containsText" text="Hear">
      <formula>NOT(ISERROR(SEARCH("Hear",B9)))</formula>
    </cfRule>
  </conditionalFormatting>
  <hyperlinks>
    <hyperlink ref="A1" location="'Test Case Overview'!A1" display="Return to Test Case Overview" xr:uid="{00000000-0004-0000-58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42" id="{2B02D0FB-B74A-4530-8269-8AA641EFA972}">
            <xm:f>'TC1'!$B8="Speak"</xm:f>
            <x14:dxf>
              <font>
                <b/>
                <i val="0"/>
                <color rgb="FFFF0000"/>
              </font>
            </x14:dxf>
          </x14:cfRule>
          <xm:sqref>C8</xm:sqref>
        </x14:conditionalFormatting>
        <x14:conditionalFormatting xmlns:xm="http://schemas.microsoft.com/office/excel/2006/main">
          <x14:cfRule type="expression" priority="23" id="{121DF38D-D478-4241-95A6-0D5D9BCA7191}">
            <xm:f>'TC1'!$B8="HANGUP"</xm:f>
            <x14:dxf>
              <font>
                <b/>
                <i val="0"/>
              </font>
            </x14:dxf>
          </x14:cfRule>
          <x14:cfRule type="expression" priority="24" id="{E2EF9CCD-D029-43E4-8483-864DC3EFFC27}">
            <xm:f>'TC1'!$B8="Dial"</xm:f>
            <x14:dxf>
              <font>
                <b/>
                <i val="0"/>
                <color rgb="FFFF0000"/>
              </font>
            </x14:dxf>
          </x14:cfRule>
          <xm:sqref>C8</xm:sqref>
        </x14:conditionalFormatting>
        <x14:conditionalFormatting xmlns:xm="http://schemas.microsoft.com/office/excel/2006/main">
          <x14:cfRule type="containsText" priority="22" operator="containsText" text="DB" id="{CEF0DD79-E528-4E25-A3F0-C0A2A6FAF742}">
            <xm:f>NOT(ISERROR(SEARCH("DB",'TC1'!E10)))</xm:f>
            <x14:dxf>
              <font>
                <color rgb="FF006100"/>
              </font>
              <fill>
                <patternFill>
                  <bgColor rgb="FFC6EFCE"/>
                </patternFill>
              </fill>
            </x14:dxf>
          </x14:cfRule>
          <x14:cfRule type="containsText" priority="26" operator="containsText" text="WEB SERVICE" id="{D72A3CE4-7715-40C5-A548-81D5EDCEB7E3}">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2041" id="{2B02D0FB-B74A-4530-8269-8AA641EFA972}">
            <xm:f>'TC1'!#REF!="Speak"</xm:f>
            <x14:dxf>
              <font>
                <b/>
                <i val="0"/>
                <color rgb="FFFF0000"/>
              </font>
            </x14:dxf>
          </x14:cfRule>
          <xm:sqref>C13 C15 C17 C19:C22</xm:sqref>
        </x14:conditionalFormatting>
        <x14:conditionalFormatting xmlns:xm="http://schemas.microsoft.com/office/excel/2006/main">
          <x14:cfRule type="expression" priority="2047" id="{121DF38D-D478-4241-95A6-0D5D9BCA7191}">
            <xm:f>'TC1'!#REF!="HANGUP"</xm:f>
            <x14:dxf>
              <font>
                <b/>
                <i val="0"/>
              </font>
            </x14:dxf>
          </x14:cfRule>
          <x14:cfRule type="expression" priority="2048" id="{E2EF9CCD-D029-43E4-8483-864DC3EFFC27}">
            <xm:f>'TC1'!#REF!="Dial"</xm:f>
            <x14:dxf>
              <font>
                <b/>
                <i val="0"/>
                <color rgb="FFFF0000"/>
              </font>
            </x14:dxf>
          </x14:cfRule>
          <xm:sqref>C13 C15 C17 C19:C22</xm:sqref>
        </x14:conditionalFormatting>
        <x14:conditionalFormatting xmlns:xm="http://schemas.microsoft.com/office/excel/2006/main">
          <x14:cfRule type="containsText" priority="2055" operator="containsText" text="DB" id="{CEF0DD79-E528-4E25-A3F0-C0A2A6FAF742}">
            <xm:f>NOT(ISERROR(SEARCH("DB",'TC1'!#REF!)))</xm:f>
            <x14:dxf>
              <font>
                <color rgb="FF006100"/>
              </font>
              <fill>
                <patternFill>
                  <bgColor rgb="FFC6EFCE"/>
                </patternFill>
              </fill>
            </x14:dxf>
          </x14:cfRule>
          <x14:cfRule type="containsText" priority="2056" operator="containsText" text="WEB SERVICE" id="{D72A3CE4-7715-40C5-A548-81D5EDCEB7E3}">
            <xm:f>NOT(ISERROR(SEARCH("WEB SERVICE",'TC1'!#REF!)))</xm:f>
            <x14:dxf>
              <font>
                <color rgb="FF9C0006"/>
              </font>
              <fill>
                <patternFill>
                  <bgColor rgb="FFFFC7CE"/>
                </patternFill>
              </fill>
            </x14:dxf>
          </x14:cfRule>
          <xm:sqref>E13:E22</xm:sqref>
        </x14:conditionalFormatting>
        <x14:conditionalFormatting xmlns:xm="http://schemas.microsoft.com/office/excel/2006/main">
          <x14:cfRule type="expression" priority="4076" id="{2B02D0FB-B74A-4530-8269-8AA641EFA972}">
            <xm:f>'TC1'!$B10="Speak"</xm:f>
            <x14:dxf>
              <font>
                <b/>
                <i val="0"/>
                <color rgb="FFFF0000"/>
              </font>
            </x14:dxf>
          </x14:cfRule>
          <xm:sqref>C9:C11</xm:sqref>
        </x14:conditionalFormatting>
        <x14:conditionalFormatting xmlns:xm="http://schemas.microsoft.com/office/excel/2006/main">
          <x14:cfRule type="expression" priority="4079" id="{121DF38D-D478-4241-95A6-0D5D9BCA7191}">
            <xm:f>'TC1'!$B10="HANGUP"</xm:f>
            <x14:dxf>
              <font>
                <b/>
                <i val="0"/>
              </font>
            </x14:dxf>
          </x14:cfRule>
          <x14:cfRule type="expression" priority="4080" id="{E2EF9CCD-D029-43E4-8483-864DC3EFFC27}">
            <xm:f>'TC1'!$B10="Dial"</xm:f>
            <x14:dxf>
              <font>
                <b/>
                <i val="0"/>
                <color rgb="FFFF0000"/>
              </font>
            </x14:dxf>
          </x14:cfRule>
          <xm:sqref>C9:C11</xm:sqref>
        </x14:conditionalFormatting>
        <x14:conditionalFormatting xmlns:xm="http://schemas.microsoft.com/office/excel/2006/main">
          <x14:cfRule type="expression" priority="10" id="{D38663A0-5E1D-4283-82F1-2B64E4AEC4F0}">
            <xm:f>'TC1'!#REF!="HANGUP"</xm:f>
            <x14:dxf>
              <font>
                <b/>
                <i val="0"/>
              </font>
            </x14:dxf>
          </x14:cfRule>
          <x14:cfRule type="expression" priority="11" id="{E984E7E2-2070-4686-9B26-72D3D768953A}">
            <xm:f>'TC1'!#REF!="Dial"</xm:f>
            <x14:dxf>
              <font>
                <b/>
                <i val="0"/>
                <color rgb="FFFF0000"/>
              </font>
            </x14:dxf>
          </x14:cfRule>
          <xm:sqref>C12</xm:sqref>
        </x14:conditionalFormatting>
        <x14:conditionalFormatting xmlns:xm="http://schemas.microsoft.com/office/excel/2006/main">
          <x14:cfRule type="expression" priority="12" id="{5B267864-65A0-4CCC-B95C-DEC9BF11FED1}">
            <xm:f>'TC1'!#REF!="Speak"</xm:f>
            <x14:dxf>
              <font>
                <b/>
                <i val="0"/>
                <color rgb="FFFF0000"/>
              </font>
            </x14:dxf>
          </x14:cfRule>
          <xm:sqref>C12</xm:sqref>
        </x14:conditionalFormatting>
        <x14:conditionalFormatting xmlns:xm="http://schemas.microsoft.com/office/excel/2006/main">
          <x14:cfRule type="expression" priority="7" id="{33AAA3C4-1E41-44A7-A2EA-281004BEE854}">
            <xm:f>'TC1'!#REF!="HANGUP"</xm:f>
            <x14:dxf>
              <font>
                <b/>
                <i val="0"/>
              </font>
            </x14:dxf>
          </x14:cfRule>
          <x14:cfRule type="expression" priority="8" id="{82A29D72-6BE0-447B-B568-60AE800E77E7}">
            <xm:f>'TC1'!#REF!="Dial"</xm:f>
            <x14:dxf>
              <font>
                <b/>
                <i val="0"/>
                <color rgb="FFFF0000"/>
              </font>
            </x14:dxf>
          </x14:cfRule>
          <xm:sqref>C14</xm:sqref>
        </x14:conditionalFormatting>
        <x14:conditionalFormatting xmlns:xm="http://schemas.microsoft.com/office/excel/2006/main">
          <x14:cfRule type="expression" priority="9" id="{0586E5E9-A3AE-4A57-B9AE-706FB1310CF4}">
            <xm:f>'TC1'!#REF!="Speak"</xm:f>
            <x14:dxf>
              <font>
                <b/>
                <i val="0"/>
                <color rgb="FFFF0000"/>
              </font>
            </x14:dxf>
          </x14:cfRule>
          <xm:sqref>C14</xm:sqref>
        </x14:conditionalFormatting>
        <x14:conditionalFormatting xmlns:xm="http://schemas.microsoft.com/office/excel/2006/main">
          <x14:cfRule type="expression" priority="4" id="{76FA5550-6346-4340-A186-28B35FD91810}">
            <xm:f>'TC1'!#REF!="HANGUP"</xm:f>
            <x14:dxf>
              <font>
                <b/>
                <i val="0"/>
              </font>
            </x14:dxf>
          </x14:cfRule>
          <x14:cfRule type="expression" priority="5" id="{EFE66BCE-A866-4DCC-8244-0F3808182803}">
            <xm:f>'TC1'!#REF!="Dial"</xm:f>
            <x14:dxf>
              <font>
                <b/>
                <i val="0"/>
                <color rgb="FFFF0000"/>
              </font>
            </x14:dxf>
          </x14:cfRule>
          <xm:sqref>C16</xm:sqref>
        </x14:conditionalFormatting>
        <x14:conditionalFormatting xmlns:xm="http://schemas.microsoft.com/office/excel/2006/main">
          <x14:cfRule type="expression" priority="6" id="{5AB7B97E-4E20-44A2-AAAB-B48D24E37D61}">
            <xm:f>'TC1'!#REF!="Speak"</xm:f>
            <x14:dxf>
              <font>
                <b/>
                <i val="0"/>
                <color rgb="FFFF0000"/>
              </font>
            </x14:dxf>
          </x14:cfRule>
          <xm:sqref>C16</xm:sqref>
        </x14:conditionalFormatting>
        <x14:conditionalFormatting xmlns:xm="http://schemas.microsoft.com/office/excel/2006/main">
          <x14:cfRule type="expression" priority="1" id="{C0EB2970-FB6B-4FA6-9375-C7C49BE1ECFB}">
            <xm:f>'TC1'!#REF!="HANGUP"</xm:f>
            <x14:dxf>
              <font>
                <b/>
                <i val="0"/>
              </font>
            </x14:dxf>
          </x14:cfRule>
          <x14:cfRule type="expression" priority="2" id="{FB9CB0CE-37E1-485D-A099-5ECD676347FE}">
            <xm:f>'TC1'!#REF!="Dial"</xm:f>
            <x14:dxf>
              <font>
                <b/>
                <i val="0"/>
                <color rgb="FFFF0000"/>
              </font>
            </x14:dxf>
          </x14:cfRule>
          <xm:sqref>C18</xm:sqref>
        </x14:conditionalFormatting>
        <x14:conditionalFormatting xmlns:xm="http://schemas.microsoft.com/office/excel/2006/main">
          <x14:cfRule type="expression" priority="3" id="{E302CD1F-C7A6-4B3A-BDC6-426247FA226C}">
            <xm:f>'TC1'!#REF!="Speak"</xm:f>
            <x14:dxf>
              <font>
                <b/>
                <i val="0"/>
                <color rgb="FFFF0000"/>
              </font>
            </x14:dxf>
          </x14:cfRule>
          <xm:sqref>C18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E31"/>
  <sheetViews>
    <sheetView zoomScaleNormal="100" workbookViewId="0">
      <selection sqref="A1:B1"/>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8" t="s">
        <v>4</v>
      </c>
      <c r="B1" s="199"/>
      <c r="C1" s="101"/>
    </row>
    <row r="2" spans="1:5">
      <c r="A2" s="102" t="s">
        <v>5</v>
      </c>
      <c r="B2" s="103" t="str">
        <f ca="1">MID(CELL("filename",A1),FIND("]",CELL("filename",A1))+1,LEN(CELL("filename",A1))-FIND("]",CELL("filename",A1)))</f>
        <v>TC8</v>
      </c>
    </row>
    <row r="3" spans="1:5">
      <c r="A3" s="100" t="s">
        <v>19</v>
      </c>
      <c r="B3" s="108">
        <f ca="1">VLOOKUP(B2,Table1[#All],2,FALSE)</f>
        <v>0</v>
      </c>
    </row>
    <row r="4" spans="1:5" ht="30">
      <c r="A4" s="109" t="s">
        <v>20</v>
      </c>
      <c r="B4" s="95">
        <f ca="1">VLOOKUP(B2,Table1[#All],4,FALSE)</f>
        <v>0</v>
      </c>
    </row>
    <row r="5" spans="1:5">
      <c r="A5" s="100" t="s">
        <v>6</v>
      </c>
      <c r="B5" s="89" t="str">
        <f ca="1">VLOOKUP(B2,Table1[#All],3,FALSE)</f>
        <v>Coll Inbd Xfer to Spanish</v>
      </c>
    </row>
    <row r="7" spans="1:5" ht="15.75">
      <c r="A7" s="96" t="s">
        <v>7</v>
      </c>
      <c r="B7" s="97" t="s">
        <v>8</v>
      </c>
      <c r="C7" s="98" t="s">
        <v>9</v>
      </c>
      <c r="D7" s="98" t="s">
        <v>14</v>
      </c>
      <c r="E7" s="99" t="s">
        <v>10</v>
      </c>
    </row>
    <row r="8" spans="1:5">
      <c r="A8" s="114">
        <v>1</v>
      </c>
      <c r="B8" s="110" t="s">
        <v>114</v>
      </c>
      <c r="C8" s="124" t="s">
        <v>475</v>
      </c>
      <c r="D8" s="125"/>
      <c r="E8" s="122" t="s">
        <v>11</v>
      </c>
    </row>
    <row r="9" spans="1:5" s="93" customFormat="1">
      <c r="A9" s="114">
        <v>2</v>
      </c>
      <c r="B9" s="110" t="s">
        <v>115</v>
      </c>
      <c r="C9" s="148" t="str">
        <f>VLOOKUP(Table25755252670[[#This Row],[PEG]],Table1016[],2,FALSE)</f>
        <v>CallID.wav Call ID &lt;CallID&gt;</v>
      </c>
      <c r="D9" s="145" t="s">
        <v>477</v>
      </c>
      <c r="E9" s="122"/>
    </row>
    <row r="10" spans="1:5">
      <c r="A10" s="114">
        <v>3</v>
      </c>
      <c r="B10" s="110" t="s">
        <v>115</v>
      </c>
      <c r="C10" s="105" t="str">
        <f>VLOOKUP(Table257552526911122021222361[[#This Row],[PEG]],Table1016[#All],2,FALSE)</f>
        <v>0130.wav Thank you for calling &lt;brand&gt;... [To continue in Spanish, press 9]</v>
      </c>
      <c r="D10" s="145">
        <v>130</v>
      </c>
      <c r="E10" s="122" t="str">
        <f>VLOOKUP(Table257552526911122021222361[[#This Row],[PEG]],Table1016[#All],3,FALSE)</f>
        <v>PLAY PROMPT</v>
      </c>
    </row>
    <row r="11" spans="1:5">
      <c r="A11" s="114">
        <v>4</v>
      </c>
      <c r="B11" s="110" t="s">
        <v>114</v>
      </c>
      <c r="C11" s="105" t="s">
        <v>465</v>
      </c>
      <c r="D11" s="125"/>
      <c r="E11" s="122" t="e">
        <f>VLOOKUP(Table257552526911122021222361[[#This Row],[PEG]],Table1016[#All],3,FALSE)</f>
        <v>#N/A</v>
      </c>
    </row>
    <row r="12" spans="1:5">
      <c r="A12" s="114">
        <v>5</v>
      </c>
      <c r="B12" s="110" t="s">
        <v>115</v>
      </c>
      <c r="C12" s="105" t="s">
        <v>476</v>
      </c>
      <c r="D12" s="125"/>
      <c r="E12" s="122" t="e">
        <f>VLOOKUP(Table257552526911122021222361[[#This Row],[PEG]],Table1016[#All],3,FALSE)</f>
        <v>#N/A</v>
      </c>
    </row>
    <row r="13" spans="1:5">
      <c r="A13" s="114">
        <v>6</v>
      </c>
      <c r="B13" s="110" t="s">
        <v>13</v>
      </c>
      <c r="C13" s="105" t="s">
        <v>13</v>
      </c>
      <c r="D13" s="111"/>
      <c r="E13" s="31"/>
    </row>
    <row r="14" spans="1:5">
      <c r="C14" s="25"/>
      <c r="D14" s="107" t="s">
        <v>0</v>
      </c>
    </row>
    <row r="15" spans="1:5">
      <c r="C15" s="25"/>
    </row>
    <row r="16" spans="1:5">
      <c r="C16" s="25"/>
    </row>
    <row r="17" spans="3:3">
      <c r="C17" s="25"/>
    </row>
    <row r="18" spans="3:3">
      <c r="C18" s="25"/>
    </row>
    <row r="19" spans="3:3">
      <c r="C19" s="25"/>
    </row>
    <row r="20" spans="3:3">
      <c r="C20" s="25"/>
    </row>
    <row r="21" spans="3:3">
      <c r="C21" s="25"/>
    </row>
    <row r="22" spans="3:3">
      <c r="C22" s="25"/>
    </row>
    <row r="23" spans="3:3">
      <c r="C23" s="25"/>
    </row>
    <row r="24" spans="3:3">
      <c r="C24" s="25"/>
    </row>
    <row r="25" spans="3:3">
      <c r="C25" s="25"/>
    </row>
    <row r="26" spans="3:3">
      <c r="C26" s="25"/>
    </row>
    <row r="27" spans="3:3">
      <c r="C27" s="25"/>
    </row>
    <row r="28" spans="3:3">
      <c r="C28" s="25"/>
    </row>
    <row r="29" spans="3:3">
      <c r="C29" s="26"/>
    </row>
    <row r="30" spans="3:3">
      <c r="C30" s="26"/>
    </row>
    <row r="31" spans="3:3">
      <c r="C31" s="26"/>
    </row>
  </sheetData>
  <mergeCells count="1">
    <mergeCell ref="A1:B1"/>
  </mergeCells>
  <conditionalFormatting sqref="E13">
    <cfRule type="containsText" dxfId="6510" priority="34" operator="containsText" text="WEB SERVICE">
      <formula>NOT(ISERROR(SEARCH("WEB SERVICE",E13)))</formula>
    </cfRule>
    <cfRule type="containsText" dxfId="6509" priority="35" operator="containsText" text="DB">
      <formula>NOT(ISERROR(SEARCH("DB",E13)))</formula>
    </cfRule>
  </conditionalFormatting>
  <conditionalFormatting sqref="C14:C9970 C10:C11">
    <cfRule type="expression" dxfId="6508" priority="37">
      <formula>$B10="Dial"</formula>
    </cfRule>
    <cfRule type="expression" dxfId="6507" priority="39">
      <formula>$B10="HANGUP"</formula>
    </cfRule>
  </conditionalFormatting>
  <conditionalFormatting sqref="C8">
    <cfRule type="expression" dxfId="6506" priority="6">
      <formula>$B8="Dial"</formula>
    </cfRule>
    <cfRule type="expression" dxfId="6505" priority="7">
      <formula>$B8="HANGUP"</formula>
    </cfRule>
  </conditionalFormatting>
  <conditionalFormatting sqref="B8:B13">
    <cfRule type="containsText" dxfId="6504" priority="10" operator="containsText" text="Hear">
      <formula>NOT(ISERROR(SEARCH("Hear",B8)))</formula>
    </cfRule>
  </conditionalFormatting>
  <conditionalFormatting sqref="C13">
    <cfRule type="expression" dxfId="6503" priority="11">
      <formula>$B13="Dial"</formula>
    </cfRule>
    <cfRule type="expression" dxfId="6502" priority="13">
      <formula>$B13="HANGUP"</formula>
    </cfRule>
  </conditionalFormatting>
  <conditionalFormatting sqref="C13 C10:C11">
    <cfRule type="expression" dxfId="6501" priority="12">
      <formula>$B10="Speak"</formula>
    </cfRule>
  </conditionalFormatting>
  <conditionalFormatting sqref="C12">
    <cfRule type="expression" dxfId="6500" priority="3">
      <formula>$B12="Dial"</formula>
    </cfRule>
    <cfRule type="expression" dxfId="6499" priority="5">
      <formula>$B12="HANGUP"</formula>
    </cfRule>
  </conditionalFormatting>
  <conditionalFormatting sqref="C12">
    <cfRule type="expression" dxfId="6498" priority="4">
      <formula>$B12="Speak"</formula>
    </cfRule>
  </conditionalFormatting>
  <conditionalFormatting sqref="C9">
    <cfRule type="expression" dxfId="6497" priority="1">
      <formula>$B9="Dial"</formula>
    </cfRule>
    <cfRule type="expression" dxfId="6496" priority="2">
      <formula>$B9="HANGUP"</formula>
    </cfRule>
  </conditionalFormatting>
  <hyperlinks>
    <hyperlink ref="A1" location="'Test Case Overview'!A1" display="Return to Test Case Overview" xr:uid="{00000000-0004-0000-08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722" operator="containsText" text="WEB SERVICE" id="{867AFBA1-C2F4-49BF-BDC1-DAF4E7A3E3A8}">
            <xm:f>NOT(ISERROR(SEARCH("WEB SERVICE",'TC1'!#REF!)))</xm:f>
            <x14:dxf>
              <font>
                <color rgb="FF9C0006"/>
              </font>
              <fill>
                <patternFill>
                  <bgColor rgb="FFFFC7CE"/>
                </patternFill>
              </fill>
            </x14:dxf>
          </x14:cfRule>
          <x14:cfRule type="containsText" priority="723" operator="containsText" text="DB" id="{27EB0D34-7870-4C2B-9C4D-5594A71DA986}">
            <xm:f>NOT(ISERROR(SEARCH("DB",'TC1'!#REF!)))</xm:f>
            <x14:dxf>
              <font>
                <color rgb="FF006100"/>
              </font>
              <fill>
                <patternFill>
                  <bgColor rgb="FFC6EFCE"/>
                </patternFill>
              </fill>
            </x14:dxf>
          </x14:cfRule>
          <xm:sqref>E12</xm:sqref>
        </x14:conditionalFormatting>
        <x14:conditionalFormatting xmlns:xm="http://schemas.microsoft.com/office/excel/2006/main">
          <x14:cfRule type="containsText" priority="3578" operator="containsText" text="WEB SERVICE" id="{867AFBA1-C2F4-49BF-BDC1-DAF4E7A3E3A8}">
            <xm:f>NOT(ISERROR(SEARCH("WEB SERVICE",'TC1'!E11)))</xm:f>
            <x14:dxf>
              <font>
                <color rgb="FF9C0006"/>
              </font>
              <fill>
                <patternFill>
                  <bgColor rgb="FFFFC7CE"/>
                </patternFill>
              </fill>
            </x14:dxf>
          </x14:cfRule>
          <x14:cfRule type="containsText" priority="3579" operator="containsText" text="DB" id="{27EB0D34-7870-4C2B-9C4D-5594A71DA986}">
            <xm:f>NOT(ISERROR(SEARCH("DB",'TC1'!E11)))</xm:f>
            <x14:dxf>
              <font>
                <color rgb="FF006100"/>
              </font>
              <fill>
                <patternFill>
                  <bgColor rgb="FFC6EFCE"/>
                </patternFill>
              </fill>
            </x14:dxf>
          </x14:cfRule>
          <xm:sqref>E10</xm:sqref>
        </x14:conditionalFormatting>
        <x14:conditionalFormatting xmlns:xm="http://schemas.microsoft.com/office/excel/2006/main">
          <x14:cfRule type="containsText" priority="3600" operator="containsText" text="WEB SERVICE" id="{867AFBA1-C2F4-49BF-BDC1-DAF4E7A3E3A8}">
            <xm:f>NOT(ISERROR(SEARCH("WEB SERVICE",'TC1'!E13)))</xm:f>
            <x14:dxf>
              <font>
                <color rgb="FF9C0006"/>
              </font>
              <fill>
                <patternFill>
                  <bgColor rgb="FFFFC7CE"/>
                </patternFill>
              </fill>
            </x14:dxf>
          </x14:cfRule>
          <x14:cfRule type="containsText" priority="3601" operator="containsText" text="DB" id="{27EB0D34-7870-4C2B-9C4D-5594A71DA986}">
            <xm:f>NOT(ISERROR(SEARCH("DB",'TC1'!E13)))</xm:f>
            <x14:dxf>
              <font>
                <color rgb="FF006100"/>
              </font>
              <fill>
                <patternFill>
                  <bgColor rgb="FFC6EFCE"/>
                </patternFill>
              </fill>
            </x14:dxf>
          </x14:cfRule>
          <xm:sqref>E11</xm:sqref>
        </x14:conditionalFormatting>
      </x14:conditionalFormattings>
    </ext>
  </extLst>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1"/>
  <dimension ref="A1:E38"/>
  <sheetViews>
    <sheetView zoomScaleNormal="100" workbookViewId="0">
      <selection activeCell="D22" sqref="D22"/>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TC89</v>
      </c>
    </row>
    <row r="3" spans="1:5">
      <c r="A3" s="100" t="s">
        <v>19</v>
      </c>
      <c r="B3" s="108">
        <f ca="1">VLOOKUP(B2,Table53[#All],2,FALSE)</f>
        <v>0</v>
      </c>
    </row>
    <row r="4" spans="1:5" ht="45">
      <c r="A4" s="109" t="s">
        <v>20</v>
      </c>
      <c r="B4" s="95" t="str">
        <f ca="1">VLOOKUP(B2,Table53[#All],4,FALSE)</f>
        <v>svcArea=titleSvcs, serviceType=chgOwner, Not in progress or complete &lt;90days. 325-V-DD-R</v>
      </c>
      <c r="C4" s="94" t="s">
        <v>245</v>
      </c>
    </row>
    <row r="5" spans="1:5" ht="28.9" customHeight="1">
      <c r="A5" s="100" t="s">
        <v>6</v>
      </c>
      <c r="B5" s="75" t="str">
        <f ca="1">VLOOKUP(B2,Table53[#All],3,FALSE)</f>
        <v xml:space="preserve">CallStart Main Menu /Title /Ownership changes/ID Auth=True/ remove owner at ChangeMenu/HU after hearing peg 0330 </v>
      </c>
    </row>
    <row r="7" spans="1:5" ht="15.75">
      <c r="A7" s="96" t="s">
        <v>7</v>
      </c>
      <c r="B7" s="97" t="s">
        <v>8</v>
      </c>
      <c r="C7" s="98" t="s">
        <v>9</v>
      </c>
      <c r="D7" s="98" t="s">
        <v>14</v>
      </c>
      <c r="E7" s="99" t="s">
        <v>10</v>
      </c>
    </row>
    <row r="8" spans="1:5">
      <c r="A8" s="114">
        <v>1</v>
      </c>
      <c r="B8" s="110" t="s">
        <v>114</v>
      </c>
      <c r="C8" s="105" t="s">
        <v>125</v>
      </c>
      <c r="D8" s="125"/>
      <c r="E8" s="122" t="s">
        <v>11</v>
      </c>
    </row>
    <row r="9" spans="1:5" s="93" customFormat="1">
      <c r="A9" s="114">
        <v>2</v>
      </c>
      <c r="B9" s="110" t="s">
        <v>115</v>
      </c>
      <c r="C9" s="105" t="str">
        <f>VLOOKUP(Table25751977[[#This Row],[PEG]],Table1016[#All],2,FALSE)</f>
        <v>CallID.wav Call ID &lt;CallID&gt;</v>
      </c>
      <c r="D9" s="152" t="s">
        <v>477</v>
      </c>
      <c r="E9" s="122" t="str">
        <f>VLOOKUP(Table25751977[[#This Row],[PEG]],Table1016[#All],3,FALSE)</f>
        <v>TEST</v>
      </c>
    </row>
    <row r="10" spans="1:5" s="93" customFormat="1" ht="30">
      <c r="A10" s="114">
        <v>3</v>
      </c>
      <c r="B10" s="110" t="s">
        <v>115</v>
      </c>
      <c r="C10" s="105" t="str">
        <f>VLOOKUP(Table25751977[[#This Row],[PEG]],Table1016[#All],2,FALSE)</f>
        <v>0100.wav Thank you for calling Shell vacations Club, we are glad you called. Please have your account number available for faster service. [To continue in Spanish, press 9]</v>
      </c>
      <c r="D10" s="152">
        <v>100</v>
      </c>
      <c r="E10" s="122" t="str">
        <f>VLOOKUP(Table25751977[[#This Row],[PEG]],Table1016[#All],3,FALSE)</f>
        <v>PLAY PROMPT</v>
      </c>
    </row>
    <row r="11" spans="1:5" s="93" customFormat="1" ht="30">
      <c r="A11" s="114">
        <v>4</v>
      </c>
      <c r="B11" s="110" t="s">
        <v>115</v>
      </c>
      <c r="C11" s="105" t="str">
        <f>VLOOKUP(Table25751977[[#This Row],[PEG]],Table1016[#All],2,FALSE)</f>
        <v>0110-1.wav Which would you like? You can say... reservations, payments &amp; statements, title &amp; ownership changes, or more options.</v>
      </c>
      <c r="D11" s="152">
        <v>110</v>
      </c>
      <c r="E11" s="122" t="str">
        <f>VLOOKUP(Table25751977[[#This Row],[PEG]],Table1016[#All],3,FALSE)</f>
        <v>MENU PROMPT</v>
      </c>
    </row>
    <row r="12" spans="1:5" s="93" customFormat="1">
      <c r="A12" s="114">
        <v>5</v>
      </c>
      <c r="B12" s="110" t="s">
        <v>124</v>
      </c>
      <c r="C12" s="151" t="s">
        <v>486</v>
      </c>
      <c r="D12" s="152"/>
      <c r="E12" s="122" t="e">
        <f>VLOOKUP(Table25751977[[#This Row],[PEG]],Table1016[#All],3,FALSE)</f>
        <v>#N/A</v>
      </c>
    </row>
    <row r="13" spans="1:5" s="93" customFormat="1" ht="30">
      <c r="A13" s="114">
        <v>6</v>
      </c>
      <c r="B13" s="110" t="s">
        <v>115</v>
      </c>
      <c r="C13" s="105" t="str">
        <f>VLOOKUP(Table25751977[[#This Row],[PEG]],Table1016[#All],2,FALSE)</f>
        <v>0300-1.wav You can say ownership changes, check status, make a payment, or help me with something else. Which would you like?</v>
      </c>
      <c r="D13" s="152">
        <v>300</v>
      </c>
      <c r="E13" s="122" t="str">
        <f>VLOOKUP(Table25751977[[#This Row],[PEG]],Table1016[#All],3,FALSE)</f>
        <v>MENU PROMPT</v>
      </c>
    </row>
    <row r="14" spans="1:5" s="93" customFormat="1">
      <c r="A14" s="114">
        <v>7</v>
      </c>
      <c r="B14" s="110" t="s">
        <v>124</v>
      </c>
      <c r="C14" s="151" t="s">
        <v>527</v>
      </c>
      <c r="D14" s="125"/>
      <c r="E14" s="122" t="e">
        <f>VLOOKUP(Table25751977[[#This Row],[PEG]],Table1016[#All],3,FALSE)</f>
        <v>#N/A</v>
      </c>
    </row>
    <row r="15" spans="1:5">
      <c r="A15" s="114">
        <v>8</v>
      </c>
      <c r="B15" s="110" t="s">
        <v>115</v>
      </c>
      <c r="C15" s="105" t="str">
        <f>VLOOKUP(Table25751977[[#This Row],[PEG]],Table1016[#All],2,FALSE)</f>
        <v>0200-1.wav To get started, what is your account number?</v>
      </c>
      <c r="D15" s="153">
        <v>200</v>
      </c>
      <c r="E15" s="122" t="str">
        <f>VLOOKUP(Table25751977[[#This Row],[PEG]],Table1016[#All],3,FALSE)</f>
        <v>MENU PROMPT</v>
      </c>
    </row>
    <row r="16" spans="1:5">
      <c r="A16" s="114">
        <v>9</v>
      </c>
      <c r="B16" s="110" t="s">
        <v>114</v>
      </c>
      <c r="C16" s="151" t="s">
        <v>515</v>
      </c>
      <c r="D16" s="112"/>
      <c r="E16" s="122" t="e">
        <f>VLOOKUP(Table25751977[[#This Row],[PEG]],Table1016[#All],3,FALSE)</f>
        <v>#N/A</v>
      </c>
    </row>
    <row r="17" spans="1:5">
      <c r="A17" s="114">
        <v>10</v>
      </c>
      <c r="B17" s="110" t="s">
        <v>115</v>
      </c>
      <c r="C17" s="105" t="str">
        <f>VLOOKUP(Table25751977[[#This Row],[PEG]],Table1016[#All],2,FALSE)</f>
        <v>0210-1.wav And the date of birth for the primary owner?</v>
      </c>
      <c r="D17" s="154">
        <v>210</v>
      </c>
      <c r="E17" s="122" t="str">
        <f>VLOOKUP(Table25751977[[#This Row],[PEG]],Table1016[#All],3,FALSE)</f>
        <v>MENU PROMPT</v>
      </c>
    </row>
    <row r="18" spans="1:5">
      <c r="A18" s="114">
        <v>11</v>
      </c>
      <c r="B18" s="110" t="s">
        <v>124</v>
      </c>
      <c r="C18" s="151" t="s">
        <v>524</v>
      </c>
      <c r="D18" s="113"/>
      <c r="E18" s="122" t="e">
        <f>VLOOKUP(Table25751977[[#This Row],[PEG]],Table1016[#All],3,FALSE)</f>
        <v>#N/A</v>
      </c>
    </row>
    <row r="19" spans="1:5" ht="45">
      <c r="A19" s="114">
        <v>12</v>
      </c>
      <c r="B19" s="110" t="s">
        <v>115</v>
      </c>
      <c r="C19" s="105" t="str">
        <f>VLOOKUP(Table25751977[[#This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54">
        <v>320</v>
      </c>
      <c r="E19" s="122" t="str">
        <f>VLOOKUP(Table25751977[[#This Row],[PEG]],Table1016[#All],3,FALSE)</f>
        <v>MENU PROMPT</v>
      </c>
    </row>
    <row r="20" spans="1:5">
      <c r="A20" s="114">
        <v>13</v>
      </c>
      <c r="B20" s="110" t="s">
        <v>124</v>
      </c>
      <c r="C20" s="151" t="s">
        <v>554</v>
      </c>
      <c r="D20" s="113"/>
      <c r="E20" s="122" t="e">
        <f>VLOOKUP(Table25751977[[#This Row],[PEG]],Table1016[#All],3,FALSE)</f>
        <v>#N/A</v>
      </c>
    </row>
    <row r="21" spans="1:5" ht="45">
      <c r="A21" s="114">
        <v>14</v>
      </c>
      <c r="B21" s="110" t="s">
        <v>115</v>
      </c>
      <c r="C21" s="105" t="str">
        <f>VLOOKUP(Table25751977[[#This Row],[PEG]],Table1016[#All],2,FALSE)</f>
        <v>Wyndham requires a $299 processing fee to update ownership and a new recorded deed from the county where you own the property. We recommend that you use a licensed professional to execute the document. Please send the information to 6277 Sea Harbor Drive, Orlando Florida 32821, attention, Ownership Change.</v>
      </c>
      <c r="D21" s="94" t="s">
        <v>245</v>
      </c>
      <c r="E21" s="122" t="str">
        <f>VLOOKUP(Table25751977[[#This Row],[PEG]],Table1016[#All],3,FALSE)</f>
        <v>PLAY PROMPT</v>
      </c>
    </row>
    <row r="22" spans="1:5" ht="30">
      <c r="A22" s="114">
        <v>15</v>
      </c>
      <c r="B22" s="110" t="s">
        <v>115</v>
      </c>
      <c r="C22" s="105" t="str">
        <f>VLOOKUP(Table25751977[[#This Row],[PEG]],Table1016[#All],2,FALSE)</f>
        <v>0330-1.wav To hear this information again, say repeat that. If you would like me to send you a letter with instructions to start the process, say information letter.</v>
      </c>
      <c r="D22" s="154">
        <v>330</v>
      </c>
      <c r="E22" s="122" t="str">
        <f>VLOOKUP(Table25751977[[#This Row],[PEG]],Table1016[#All],3,FALSE)</f>
        <v>MENU PROMPT</v>
      </c>
    </row>
    <row r="23" spans="1:5">
      <c r="A23" s="114">
        <v>16</v>
      </c>
      <c r="B23" s="110" t="s">
        <v>13</v>
      </c>
      <c r="C23" s="17" t="s">
        <v>13</v>
      </c>
      <c r="D23" s="111"/>
      <c r="E23" s="31"/>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6"/>
    </row>
    <row r="37" spans="3:3">
      <c r="C37" s="26"/>
    </row>
    <row r="38" spans="3:3">
      <c r="C38" s="26"/>
    </row>
  </sheetData>
  <mergeCells count="1">
    <mergeCell ref="A1:B1"/>
  </mergeCells>
  <conditionalFormatting sqref="C24:C9977">
    <cfRule type="expression" dxfId="3647" priority="64">
      <formula>$B24="Dial"</formula>
    </cfRule>
    <cfRule type="expression" dxfId="3646" priority="66">
      <formula>$B24="HANGUP"</formula>
    </cfRule>
  </conditionalFormatting>
  <conditionalFormatting sqref="B23">
    <cfRule type="containsText" dxfId="3645" priority="19" operator="containsText" text="Hear">
      <formula>NOT(ISERROR(SEARCH("Hear",B23)))</formula>
    </cfRule>
  </conditionalFormatting>
  <conditionalFormatting sqref="E23">
    <cfRule type="containsText" dxfId="3644" priority="27" operator="containsText" text="WEB SERVICE">
      <formula>NOT(ISERROR(SEARCH("WEB SERVICE",E23)))</formula>
    </cfRule>
    <cfRule type="containsText" dxfId="3643" priority="28" operator="containsText" text="DB">
      <formula>NOT(ISERROR(SEARCH("DB",E23)))</formula>
    </cfRule>
  </conditionalFormatting>
  <conditionalFormatting sqref="C23">
    <cfRule type="expression" dxfId="3642" priority="30">
      <formula>$B23="Dial"</formula>
    </cfRule>
    <cfRule type="expression" dxfId="3641" priority="32">
      <formula>$B23="HANGUP"</formula>
    </cfRule>
  </conditionalFormatting>
  <conditionalFormatting sqref="C23">
    <cfRule type="expression" dxfId="3640" priority="31">
      <formula>$B23="Speak"</formula>
    </cfRule>
  </conditionalFormatting>
  <conditionalFormatting sqref="B8">
    <cfRule type="containsText" dxfId="3639" priority="16" operator="containsText" text="Hear">
      <formula>NOT(ISERROR(SEARCH("Hear",B8)))</formula>
    </cfRule>
  </conditionalFormatting>
  <conditionalFormatting sqref="B20:B22">
    <cfRule type="containsText" dxfId="3638" priority="15" operator="containsText" text="Hear">
      <formula>NOT(ISERROR(SEARCH("Hear",B20)))</formula>
    </cfRule>
  </conditionalFormatting>
  <conditionalFormatting sqref="B18:B19">
    <cfRule type="containsText" dxfId="3637" priority="14" operator="containsText" text="Hear">
      <formula>NOT(ISERROR(SEARCH("Hear",B18)))</formula>
    </cfRule>
  </conditionalFormatting>
  <conditionalFormatting sqref="B9:B17">
    <cfRule type="containsText" dxfId="3636" priority="13" operator="containsText" text="Hear">
      <formula>NOT(ISERROR(SEARCH("Hear",B9)))</formula>
    </cfRule>
  </conditionalFormatting>
  <hyperlinks>
    <hyperlink ref="A1" location="'Test Case Overview'!A1" display="Return to Test Case Overview" xr:uid="{00000000-0004-0000-5900-000000000000}"/>
  </hyperlink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42" id="{752E70E0-99B1-4F12-8D91-11FB4113D8B2}">
            <xm:f>'TC1'!$B8="Speak"</xm:f>
            <x14:dxf>
              <font>
                <b/>
                <i val="0"/>
                <color rgb="FFFF0000"/>
              </font>
            </x14:dxf>
          </x14:cfRule>
          <xm:sqref>C8</xm:sqref>
        </x14:conditionalFormatting>
        <x14:conditionalFormatting xmlns:xm="http://schemas.microsoft.com/office/excel/2006/main">
          <x14:cfRule type="expression" priority="23" id="{2FB16D23-0358-4C21-BAEE-0A84AEF782F0}">
            <xm:f>'TC1'!$B8="HANGUP"</xm:f>
            <x14:dxf>
              <font>
                <b/>
                <i val="0"/>
              </font>
            </x14:dxf>
          </x14:cfRule>
          <x14:cfRule type="expression" priority="24" id="{4375392C-511C-413D-99DD-CBF49B32677A}">
            <xm:f>'TC1'!$B8="Dial"</xm:f>
            <x14:dxf>
              <font>
                <b/>
                <i val="0"/>
                <color rgb="FFFF0000"/>
              </font>
            </x14:dxf>
          </x14:cfRule>
          <xm:sqref>C8</xm:sqref>
        </x14:conditionalFormatting>
        <x14:conditionalFormatting xmlns:xm="http://schemas.microsoft.com/office/excel/2006/main">
          <x14:cfRule type="containsText" priority="22" operator="containsText" text="DB" id="{A04DFD58-05DF-40D0-9D49-E20234436714}">
            <xm:f>NOT(ISERROR(SEARCH("DB",'TC1'!E10)))</xm:f>
            <x14:dxf>
              <font>
                <color rgb="FF006100"/>
              </font>
              <fill>
                <patternFill>
                  <bgColor rgb="FFC6EFCE"/>
                </patternFill>
              </fill>
            </x14:dxf>
          </x14:cfRule>
          <x14:cfRule type="containsText" priority="26" operator="containsText" text="WEB SERVICE" id="{07458129-3AD7-4D4B-AB78-F2DFF9C0BDA6}">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2061" id="{752E70E0-99B1-4F12-8D91-11FB4113D8B2}">
            <xm:f>'TC1'!#REF!="Speak"</xm:f>
            <x14:dxf>
              <font>
                <b/>
                <i val="0"/>
                <color rgb="FFFF0000"/>
              </font>
            </x14:dxf>
          </x14:cfRule>
          <xm:sqref>C13 C15 C17 C19:C22</xm:sqref>
        </x14:conditionalFormatting>
        <x14:conditionalFormatting xmlns:xm="http://schemas.microsoft.com/office/excel/2006/main">
          <x14:cfRule type="expression" priority="2067" id="{2FB16D23-0358-4C21-BAEE-0A84AEF782F0}">
            <xm:f>'TC1'!#REF!="HANGUP"</xm:f>
            <x14:dxf>
              <font>
                <b/>
                <i val="0"/>
              </font>
            </x14:dxf>
          </x14:cfRule>
          <x14:cfRule type="expression" priority="2068" id="{4375392C-511C-413D-99DD-CBF49B32677A}">
            <xm:f>'TC1'!#REF!="Dial"</xm:f>
            <x14:dxf>
              <font>
                <b/>
                <i val="0"/>
                <color rgb="FFFF0000"/>
              </font>
            </x14:dxf>
          </x14:cfRule>
          <xm:sqref>C13 C15 C17 C19:C22</xm:sqref>
        </x14:conditionalFormatting>
        <x14:conditionalFormatting xmlns:xm="http://schemas.microsoft.com/office/excel/2006/main">
          <x14:cfRule type="containsText" priority="2075" operator="containsText" text="DB" id="{A04DFD58-05DF-40D0-9D49-E20234436714}">
            <xm:f>NOT(ISERROR(SEARCH("DB",'TC1'!#REF!)))</xm:f>
            <x14:dxf>
              <font>
                <color rgb="FF006100"/>
              </font>
              <fill>
                <patternFill>
                  <bgColor rgb="FFC6EFCE"/>
                </patternFill>
              </fill>
            </x14:dxf>
          </x14:cfRule>
          <x14:cfRule type="containsText" priority="2076" operator="containsText" text="WEB SERVICE" id="{07458129-3AD7-4D4B-AB78-F2DFF9C0BDA6}">
            <xm:f>NOT(ISERROR(SEARCH("WEB SERVICE",'TC1'!#REF!)))</xm:f>
            <x14:dxf>
              <font>
                <color rgb="FF9C0006"/>
              </font>
              <fill>
                <patternFill>
                  <bgColor rgb="FFFFC7CE"/>
                </patternFill>
              </fill>
            </x14:dxf>
          </x14:cfRule>
          <xm:sqref>E13:E22</xm:sqref>
        </x14:conditionalFormatting>
        <x14:conditionalFormatting xmlns:xm="http://schemas.microsoft.com/office/excel/2006/main">
          <x14:cfRule type="expression" priority="4084" id="{752E70E0-99B1-4F12-8D91-11FB4113D8B2}">
            <xm:f>'TC1'!$B10="Speak"</xm:f>
            <x14:dxf>
              <font>
                <b/>
                <i val="0"/>
                <color rgb="FFFF0000"/>
              </font>
            </x14:dxf>
          </x14:cfRule>
          <xm:sqref>C9:C11</xm:sqref>
        </x14:conditionalFormatting>
        <x14:conditionalFormatting xmlns:xm="http://schemas.microsoft.com/office/excel/2006/main">
          <x14:cfRule type="expression" priority="4087" id="{2FB16D23-0358-4C21-BAEE-0A84AEF782F0}">
            <xm:f>'TC1'!$B10="HANGUP"</xm:f>
            <x14:dxf>
              <font>
                <b/>
                <i val="0"/>
              </font>
            </x14:dxf>
          </x14:cfRule>
          <x14:cfRule type="expression" priority="4088" id="{4375392C-511C-413D-99DD-CBF49B32677A}">
            <xm:f>'TC1'!$B10="Dial"</xm:f>
            <x14:dxf>
              <font>
                <b/>
                <i val="0"/>
                <color rgb="FFFF0000"/>
              </font>
            </x14:dxf>
          </x14:cfRule>
          <xm:sqref>C9:C11</xm:sqref>
        </x14:conditionalFormatting>
        <x14:conditionalFormatting xmlns:xm="http://schemas.microsoft.com/office/excel/2006/main">
          <x14:cfRule type="expression" priority="10" id="{060D32F2-966B-4DAD-AE5A-38E71AD67596}">
            <xm:f>'TC1'!#REF!="HANGUP"</xm:f>
            <x14:dxf>
              <font>
                <b/>
                <i val="0"/>
              </font>
            </x14:dxf>
          </x14:cfRule>
          <x14:cfRule type="expression" priority="11" id="{B6C771DA-8A9A-4FC7-A238-C8EBC805DDFB}">
            <xm:f>'TC1'!#REF!="Dial"</xm:f>
            <x14:dxf>
              <font>
                <b/>
                <i val="0"/>
                <color rgb="FFFF0000"/>
              </font>
            </x14:dxf>
          </x14:cfRule>
          <xm:sqref>C12</xm:sqref>
        </x14:conditionalFormatting>
        <x14:conditionalFormatting xmlns:xm="http://schemas.microsoft.com/office/excel/2006/main">
          <x14:cfRule type="expression" priority="12" id="{E5B7CDF0-CA4C-438A-A8E3-B655D0BA8528}">
            <xm:f>'TC1'!#REF!="Speak"</xm:f>
            <x14:dxf>
              <font>
                <b/>
                <i val="0"/>
                <color rgb="FFFF0000"/>
              </font>
            </x14:dxf>
          </x14:cfRule>
          <xm:sqref>C12</xm:sqref>
        </x14:conditionalFormatting>
        <x14:conditionalFormatting xmlns:xm="http://schemas.microsoft.com/office/excel/2006/main">
          <x14:cfRule type="expression" priority="7" id="{8579EF1F-325D-4BB3-B6E0-A4EE61DEF7C3}">
            <xm:f>'TC1'!#REF!="HANGUP"</xm:f>
            <x14:dxf>
              <font>
                <b/>
                <i val="0"/>
              </font>
            </x14:dxf>
          </x14:cfRule>
          <x14:cfRule type="expression" priority="8" id="{A1733D8E-7A11-4771-8DE9-48B83D86B574}">
            <xm:f>'TC1'!#REF!="Dial"</xm:f>
            <x14:dxf>
              <font>
                <b/>
                <i val="0"/>
                <color rgb="FFFF0000"/>
              </font>
            </x14:dxf>
          </x14:cfRule>
          <xm:sqref>C14</xm:sqref>
        </x14:conditionalFormatting>
        <x14:conditionalFormatting xmlns:xm="http://schemas.microsoft.com/office/excel/2006/main">
          <x14:cfRule type="expression" priority="9" id="{BFDF0CA8-5EA3-416A-956F-F22B122F42C2}">
            <xm:f>'TC1'!#REF!="Speak"</xm:f>
            <x14:dxf>
              <font>
                <b/>
                <i val="0"/>
                <color rgb="FFFF0000"/>
              </font>
            </x14:dxf>
          </x14:cfRule>
          <xm:sqref>C14</xm:sqref>
        </x14:conditionalFormatting>
        <x14:conditionalFormatting xmlns:xm="http://schemas.microsoft.com/office/excel/2006/main">
          <x14:cfRule type="expression" priority="4" id="{EA0975F7-91A5-45DD-839A-C17B44B16F21}">
            <xm:f>'TC1'!#REF!="HANGUP"</xm:f>
            <x14:dxf>
              <font>
                <b/>
                <i val="0"/>
              </font>
            </x14:dxf>
          </x14:cfRule>
          <x14:cfRule type="expression" priority="5" id="{36EABE73-F176-445E-AF2F-46CCC7552DA1}">
            <xm:f>'TC1'!#REF!="Dial"</xm:f>
            <x14:dxf>
              <font>
                <b/>
                <i val="0"/>
                <color rgb="FFFF0000"/>
              </font>
            </x14:dxf>
          </x14:cfRule>
          <xm:sqref>C16</xm:sqref>
        </x14:conditionalFormatting>
        <x14:conditionalFormatting xmlns:xm="http://schemas.microsoft.com/office/excel/2006/main">
          <x14:cfRule type="expression" priority="6" id="{70D21402-704B-4D20-B151-82BB1AAD0BAE}">
            <xm:f>'TC1'!#REF!="Speak"</xm:f>
            <x14:dxf>
              <font>
                <b/>
                <i val="0"/>
                <color rgb="FFFF0000"/>
              </font>
            </x14:dxf>
          </x14:cfRule>
          <xm:sqref>C16</xm:sqref>
        </x14:conditionalFormatting>
        <x14:conditionalFormatting xmlns:xm="http://schemas.microsoft.com/office/excel/2006/main">
          <x14:cfRule type="expression" priority="1" id="{CA5E8361-0B01-4B4C-BCF3-69366E2C304B}">
            <xm:f>'TC1'!#REF!="HANGUP"</xm:f>
            <x14:dxf>
              <font>
                <b/>
                <i val="0"/>
              </font>
            </x14:dxf>
          </x14:cfRule>
          <x14:cfRule type="expression" priority="2" id="{BC787769-AC83-426E-8D80-2D02E899FC65}">
            <xm:f>'TC1'!#REF!="Dial"</xm:f>
            <x14:dxf>
              <font>
                <b/>
                <i val="0"/>
                <color rgb="FFFF0000"/>
              </font>
            </x14:dxf>
          </x14:cfRule>
          <xm:sqref>C18</xm:sqref>
        </x14:conditionalFormatting>
        <x14:conditionalFormatting xmlns:xm="http://schemas.microsoft.com/office/excel/2006/main">
          <x14:cfRule type="expression" priority="3" id="{1405187D-97A4-4A1C-BA7C-0AB5FAB6D45E}">
            <xm:f>'TC1'!#REF!="Speak"</xm:f>
            <x14:dxf>
              <font>
                <b/>
                <i val="0"/>
                <color rgb="FFFF0000"/>
              </font>
            </x14:dxf>
          </x14:cfRule>
          <xm:sqref>C18</xm:sqref>
        </x14:conditionalFormatting>
      </x14:conditionalFormattings>
    </ext>
  </extLst>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2"/>
  <dimension ref="A1:E38"/>
  <sheetViews>
    <sheetView zoomScaleNormal="100" workbookViewId="0">
      <selection activeCell="I23" sqref="I23"/>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TC90</v>
      </c>
    </row>
    <row r="3" spans="1:5">
      <c r="A3" s="100" t="s">
        <v>19</v>
      </c>
      <c r="B3" s="108">
        <f ca="1">VLOOKUP(B2,Table53[#All],2,FALSE)</f>
        <v>0</v>
      </c>
    </row>
    <row r="4" spans="1:5" ht="45">
      <c r="A4" s="109" t="s">
        <v>20</v>
      </c>
      <c r="B4" s="95" t="str">
        <f ca="1">VLOOKUP(B2,Table53[#All],4,FALSE)</f>
        <v>svcArea=titleSvcs, serviceType=chgOwner, Not in progress or complete &lt;90days. 325-V-DF-R</v>
      </c>
      <c r="C4" s="94" t="s">
        <v>246</v>
      </c>
    </row>
    <row r="5" spans="1:5" ht="28.9" customHeight="1">
      <c r="A5" s="100" t="s">
        <v>6</v>
      </c>
      <c r="B5" s="75" t="str">
        <f ca="1">VLOOKUP(B2,Table53[#All],3,FALSE)</f>
        <v xml:space="preserve">CallStart Main Menu /Title /Ownership changes/ID Auth=True/ remove owner at ChangeMenu/HU after hearing peg 0330 </v>
      </c>
    </row>
    <row r="7" spans="1:5" ht="15.75">
      <c r="A7" s="96" t="s">
        <v>7</v>
      </c>
      <c r="B7" s="97" t="s">
        <v>8</v>
      </c>
      <c r="C7" s="98" t="s">
        <v>9</v>
      </c>
      <c r="D7" s="98" t="s">
        <v>14</v>
      </c>
      <c r="E7" s="99" t="s">
        <v>10</v>
      </c>
    </row>
    <row r="8" spans="1:5">
      <c r="A8" s="114">
        <v>1</v>
      </c>
      <c r="B8" s="110" t="s">
        <v>114</v>
      </c>
      <c r="C8" s="105" t="s">
        <v>125</v>
      </c>
      <c r="D8" s="125"/>
      <c r="E8" s="122" t="s">
        <v>11</v>
      </c>
    </row>
    <row r="9" spans="1:5" s="93" customFormat="1">
      <c r="A9" s="114">
        <v>2</v>
      </c>
      <c r="B9" s="110" t="s">
        <v>115</v>
      </c>
      <c r="C9" s="105" t="str">
        <f>VLOOKUP(Table25751978[[#This Row],[PEG]],Table1016[#All],2,FALSE)</f>
        <v>CallID.wav Call ID &lt;CallID&gt;</v>
      </c>
      <c r="D9" s="152" t="s">
        <v>477</v>
      </c>
      <c r="E9" s="122" t="str">
        <f>VLOOKUP(Table25751978[[#This Row],[PEG]],Table1016[#All],3,FALSE)</f>
        <v>TEST</v>
      </c>
    </row>
    <row r="10" spans="1:5" s="93" customFormat="1" ht="30">
      <c r="A10" s="114">
        <v>3</v>
      </c>
      <c r="B10" s="110" t="s">
        <v>115</v>
      </c>
      <c r="C10" s="105" t="str">
        <f>VLOOKUP(Table25751978[[#This Row],[PEG]],Table1016[#All],2,FALSE)</f>
        <v>0100.wav Thank you for calling Shell vacations Club, we are glad you called. Please have your account number available for faster service. [To continue in Spanish, press 9]</v>
      </c>
      <c r="D10" s="152">
        <v>100</v>
      </c>
      <c r="E10" s="122" t="str">
        <f>VLOOKUP(Table25751978[[#This Row],[PEG]],Table1016[#All],3,FALSE)</f>
        <v>PLAY PROMPT</v>
      </c>
    </row>
    <row r="11" spans="1:5" s="93" customFormat="1" ht="30">
      <c r="A11" s="114">
        <v>4</v>
      </c>
      <c r="B11" s="110" t="s">
        <v>115</v>
      </c>
      <c r="C11" s="105" t="str">
        <f>VLOOKUP(Table25751978[[#This Row],[PEG]],Table1016[#All],2,FALSE)</f>
        <v>0110-1.wav Which would you like? You can say... reservations, payments &amp; statements, title &amp; ownership changes, or more options.</v>
      </c>
      <c r="D11" s="152">
        <v>110</v>
      </c>
      <c r="E11" s="122" t="str">
        <f>VLOOKUP(Table25751978[[#This Row],[PEG]],Table1016[#All],3,FALSE)</f>
        <v>MENU PROMPT</v>
      </c>
    </row>
    <row r="12" spans="1:5" s="93" customFormat="1">
      <c r="A12" s="114">
        <v>5</v>
      </c>
      <c r="B12" s="110" t="s">
        <v>124</v>
      </c>
      <c r="C12" s="151" t="s">
        <v>486</v>
      </c>
      <c r="D12" s="152"/>
      <c r="E12" s="122" t="e">
        <f>VLOOKUP(Table25751978[[#This Row],[PEG]],Table1016[#All],3,FALSE)</f>
        <v>#N/A</v>
      </c>
    </row>
    <row r="13" spans="1:5" s="93" customFormat="1" ht="30">
      <c r="A13" s="114">
        <v>6</v>
      </c>
      <c r="B13" s="110" t="s">
        <v>115</v>
      </c>
      <c r="C13" s="105" t="str">
        <f>VLOOKUP(Table25751978[[#This Row],[PEG]],Table1016[#All],2,FALSE)</f>
        <v>0300-1.wav You can say ownership changes, check status, make a payment, or help me with something else. Which would you like?</v>
      </c>
      <c r="D13" s="152">
        <v>300</v>
      </c>
      <c r="E13" s="122" t="str">
        <f>VLOOKUP(Table25751978[[#This Row],[PEG]],Table1016[#All],3,FALSE)</f>
        <v>MENU PROMPT</v>
      </c>
    </row>
    <row r="14" spans="1:5" s="93" customFormat="1">
      <c r="A14" s="114">
        <v>7</v>
      </c>
      <c r="B14" s="110" t="s">
        <v>124</v>
      </c>
      <c r="C14" s="151" t="s">
        <v>527</v>
      </c>
      <c r="D14" s="125"/>
      <c r="E14" s="122" t="e">
        <f>VLOOKUP(Table25751978[[#This Row],[PEG]],Table1016[#All],3,FALSE)</f>
        <v>#N/A</v>
      </c>
    </row>
    <row r="15" spans="1:5">
      <c r="A15" s="114">
        <v>8</v>
      </c>
      <c r="B15" s="110" t="s">
        <v>115</v>
      </c>
      <c r="C15" s="105" t="str">
        <f>VLOOKUP(Table25751978[[#This Row],[PEG]],Table1016[#All],2,FALSE)</f>
        <v>0200-1.wav To get started, what is your account number?</v>
      </c>
      <c r="D15" s="153">
        <v>200</v>
      </c>
      <c r="E15" s="122" t="str">
        <f>VLOOKUP(Table25751978[[#This Row],[PEG]],Table1016[#All],3,FALSE)</f>
        <v>MENU PROMPT</v>
      </c>
    </row>
    <row r="16" spans="1:5">
      <c r="A16" s="114">
        <v>9</v>
      </c>
      <c r="B16" s="110" t="s">
        <v>114</v>
      </c>
      <c r="C16" s="151" t="s">
        <v>515</v>
      </c>
      <c r="D16" s="112"/>
      <c r="E16" s="122" t="e">
        <f>VLOOKUP(Table25751978[[#This Row],[PEG]],Table1016[#All],3,FALSE)</f>
        <v>#N/A</v>
      </c>
    </row>
    <row r="17" spans="1:5">
      <c r="A17" s="114">
        <v>10</v>
      </c>
      <c r="B17" s="110" t="s">
        <v>115</v>
      </c>
      <c r="C17" s="105" t="str">
        <f>VLOOKUP(Table25751978[[#This Row],[PEG]],Table1016[#All],2,FALSE)</f>
        <v>0210-1.wav And the date of birth for the primary owner?</v>
      </c>
      <c r="D17" s="154">
        <v>210</v>
      </c>
      <c r="E17" s="122" t="str">
        <f>VLOOKUP(Table25751978[[#This Row],[PEG]],Table1016[#All],3,FALSE)</f>
        <v>MENU PROMPT</v>
      </c>
    </row>
    <row r="18" spans="1:5">
      <c r="A18" s="114">
        <v>11</v>
      </c>
      <c r="B18" s="110" t="s">
        <v>124</v>
      </c>
      <c r="C18" s="151" t="s">
        <v>524</v>
      </c>
      <c r="D18" s="113"/>
      <c r="E18" s="122" t="e">
        <f>VLOOKUP(Table25751978[[#This Row],[PEG]],Table1016[#All],3,FALSE)</f>
        <v>#N/A</v>
      </c>
    </row>
    <row r="19" spans="1:5" ht="45">
      <c r="A19" s="114">
        <v>12</v>
      </c>
      <c r="B19" s="110" t="s">
        <v>115</v>
      </c>
      <c r="C19" s="105" t="str">
        <f>VLOOKUP(Table25751978[[#This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54">
        <v>320</v>
      </c>
      <c r="E19" s="122" t="str">
        <f>VLOOKUP(Table25751978[[#This Row],[PEG]],Table1016[#All],3,FALSE)</f>
        <v>MENU PROMPT</v>
      </c>
    </row>
    <row r="20" spans="1:5">
      <c r="A20" s="114">
        <v>13</v>
      </c>
      <c r="B20" s="110" t="s">
        <v>124</v>
      </c>
      <c r="C20" s="151" t="s">
        <v>558</v>
      </c>
      <c r="D20" s="113"/>
      <c r="E20" s="122" t="e">
        <f>VLOOKUP(Table25751978[[#This Row],[PEG]],Table1016[#All],3,FALSE)</f>
        <v>#N/A</v>
      </c>
    </row>
    <row r="21" spans="1:5" ht="45">
      <c r="A21" s="114">
        <v>14</v>
      </c>
      <c r="B21" s="110" t="s">
        <v>115</v>
      </c>
      <c r="C21" s="105" t="str">
        <f>VLOOKUP(Table25751978[[#This Row],[PEG]],Table1016[#All],2,FALSE)</f>
        <v>Wyndham requires a new recorded deed from the county where you own the property. We recommend that you use a licensed professional to execute the document . Please send the copy of the new deed to 6277 Sea Harbor Drive, Orlando Florida 32821, attention, Ownership Change or via email to ownershipchange@wyn.com.</v>
      </c>
      <c r="D21" s="94" t="s">
        <v>246</v>
      </c>
      <c r="E21" s="122" t="str">
        <f>VLOOKUP(Table25751978[[#This Row],[PEG]],Table1016[#All],3,FALSE)</f>
        <v>PLAY PROMPT</v>
      </c>
    </row>
    <row r="22" spans="1:5" ht="30">
      <c r="A22" s="114">
        <v>15</v>
      </c>
      <c r="B22" s="110" t="s">
        <v>115</v>
      </c>
      <c r="C22" s="105" t="str">
        <f>VLOOKUP(Table25751978[[#This Row],[PEG]],Table1016[#All],2,FALSE)</f>
        <v>0330-1.wav To hear this information again, say repeat that. If you would like me to send you a letter with instructions to start the process, say information letter.</v>
      </c>
      <c r="D22" s="154">
        <v>330</v>
      </c>
      <c r="E22" s="122" t="str">
        <f>VLOOKUP(Table25751978[[#This Row],[PEG]],Table1016[#All],3,FALSE)</f>
        <v>MENU PROMPT</v>
      </c>
    </row>
    <row r="23" spans="1:5">
      <c r="A23" s="114">
        <v>16</v>
      </c>
      <c r="B23" s="110" t="s">
        <v>13</v>
      </c>
      <c r="C23" s="17" t="s">
        <v>13</v>
      </c>
      <c r="D23" s="111"/>
      <c r="E23" s="31"/>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6"/>
    </row>
    <row r="37" spans="3:3">
      <c r="C37" s="26"/>
    </row>
    <row r="38" spans="3:3">
      <c r="C38" s="26"/>
    </row>
  </sheetData>
  <mergeCells count="1">
    <mergeCell ref="A1:B1"/>
  </mergeCells>
  <conditionalFormatting sqref="C24:C9977">
    <cfRule type="expression" dxfId="3601" priority="64">
      <formula>$B24="Dial"</formula>
    </cfRule>
    <cfRule type="expression" dxfId="3600" priority="66">
      <formula>$B24="HANGUP"</formula>
    </cfRule>
  </conditionalFormatting>
  <conditionalFormatting sqref="B23">
    <cfRule type="containsText" dxfId="3599" priority="19" operator="containsText" text="Hear">
      <formula>NOT(ISERROR(SEARCH("Hear",B23)))</formula>
    </cfRule>
  </conditionalFormatting>
  <conditionalFormatting sqref="E23">
    <cfRule type="containsText" dxfId="3598" priority="27" operator="containsText" text="WEB SERVICE">
      <formula>NOT(ISERROR(SEARCH("WEB SERVICE",E23)))</formula>
    </cfRule>
    <cfRule type="containsText" dxfId="3597" priority="28" operator="containsText" text="DB">
      <formula>NOT(ISERROR(SEARCH("DB",E23)))</formula>
    </cfRule>
  </conditionalFormatting>
  <conditionalFormatting sqref="C23">
    <cfRule type="expression" dxfId="3596" priority="30">
      <formula>$B23="Dial"</formula>
    </cfRule>
    <cfRule type="expression" dxfId="3595" priority="32">
      <formula>$B23="HANGUP"</formula>
    </cfRule>
  </conditionalFormatting>
  <conditionalFormatting sqref="C23">
    <cfRule type="expression" dxfId="3594" priority="31">
      <formula>$B23="Speak"</formula>
    </cfRule>
  </conditionalFormatting>
  <conditionalFormatting sqref="B8">
    <cfRule type="containsText" dxfId="3593" priority="16" operator="containsText" text="Hear">
      <formula>NOT(ISERROR(SEARCH("Hear",B8)))</formula>
    </cfRule>
  </conditionalFormatting>
  <conditionalFormatting sqref="B20:B22">
    <cfRule type="containsText" dxfId="3592" priority="15" operator="containsText" text="Hear">
      <formula>NOT(ISERROR(SEARCH("Hear",B20)))</formula>
    </cfRule>
  </conditionalFormatting>
  <conditionalFormatting sqref="B18:B19">
    <cfRule type="containsText" dxfId="3591" priority="14" operator="containsText" text="Hear">
      <formula>NOT(ISERROR(SEARCH("Hear",B18)))</formula>
    </cfRule>
  </conditionalFormatting>
  <conditionalFormatting sqref="B9:B17">
    <cfRule type="containsText" dxfId="3590" priority="13" operator="containsText" text="Hear">
      <formula>NOT(ISERROR(SEARCH("Hear",B9)))</formula>
    </cfRule>
  </conditionalFormatting>
  <hyperlinks>
    <hyperlink ref="A1" location="'Test Case Overview'!A1" display="Return to Test Case Overview" xr:uid="{00000000-0004-0000-5A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42" id="{22EA3FF3-3894-488A-B461-F088073EE119}">
            <xm:f>'TC1'!$B8="Speak"</xm:f>
            <x14:dxf>
              <font>
                <b/>
                <i val="0"/>
                <color rgb="FFFF0000"/>
              </font>
            </x14:dxf>
          </x14:cfRule>
          <xm:sqref>C8</xm:sqref>
        </x14:conditionalFormatting>
        <x14:conditionalFormatting xmlns:xm="http://schemas.microsoft.com/office/excel/2006/main">
          <x14:cfRule type="expression" priority="23" id="{DC041851-8253-4EC2-B596-542EF1AE07C9}">
            <xm:f>'TC1'!$B8="HANGUP"</xm:f>
            <x14:dxf>
              <font>
                <b/>
                <i val="0"/>
              </font>
            </x14:dxf>
          </x14:cfRule>
          <x14:cfRule type="expression" priority="24" id="{4943CA47-FF93-488D-923F-8309A98C75CC}">
            <xm:f>'TC1'!$B8="Dial"</xm:f>
            <x14:dxf>
              <font>
                <b/>
                <i val="0"/>
                <color rgb="FFFF0000"/>
              </font>
            </x14:dxf>
          </x14:cfRule>
          <xm:sqref>C8</xm:sqref>
        </x14:conditionalFormatting>
        <x14:conditionalFormatting xmlns:xm="http://schemas.microsoft.com/office/excel/2006/main">
          <x14:cfRule type="containsText" priority="22" operator="containsText" text="DB" id="{254AD68F-E053-4418-B81F-72C5CD4F4D1F}">
            <xm:f>NOT(ISERROR(SEARCH("DB",'TC1'!E10)))</xm:f>
            <x14:dxf>
              <font>
                <color rgb="FF006100"/>
              </font>
              <fill>
                <patternFill>
                  <bgColor rgb="FFC6EFCE"/>
                </patternFill>
              </fill>
            </x14:dxf>
          </x14:cfRule>
          <x14:cfRule type="containsText" priority="26" operator="containsText" text="WEB SERVICE" id="{B307EA0B-C8F1-4CB6-8F2C-22AC603E7E39}">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2081" id="{22EA3FF3-3894-488A-B461-F088073EE119}">
            <xm:f>'TC1'!#REF!="Speak"</xm:f>
            <x14:dxf>
              <font>
                <b/>
                <i val="0"/>
                <color rgb="FFFF0000"/>
              </font>
            </x14:dxf>
          </x14:cfRule>
          <xm:sqref>C13 C15 C17 C19:C22</xm:sqref>
        </x14:conditionalFormatting>
        <x14:conditionalFormatting xmlns:xm="http://schemas.microsoft.com/office/excel/2006/main">
          <x14:cfRule type="expression" priority="2087" id="{DC041851-8253-4EC2-B596-542EF1AE07C9}">
            <xm:f>'TC1'!#REF!="HANGUP"</xm:f>
            <x14:dxf>
              <font>
                <b/>
                <i val="0"/>
              </font>
            </x14:dxf>
          </x14:cfRule>
          <x14:cfRule type="expression" priority="2088" id="{4943CA47-FF93-488D-923F-8309A98C75CC}">
            <xm:f>'TC1'!#REF!="Dial"</xm:f>
            <x14:dxf>
              <font>
                <b/>
                <i val="0"/>
                <color rgb="FFFF0000"/>
              </font>
            </x14:dxf>
          </x14:cfRule>
          <xm:sqref>C13 C15 C17 C19:C22</xm:sqref>
        </x14:conditionalFormatting>
        <x14:conditionalFormatting xmlns:xm="http://schemas.microsoft.com/office/excel/2006/main">
          <x14:cfRule type="containsText" priority="2095" operator="containsText" text="DB" id="{254AD68F-E053-4418-B81F-72C5CD4F4D1F}">
            <xm:f>NOT(ISERROR(SEARCH("DB",'TC1'!#REF!)))</xm:f>
            <x14:dxf>
              <font>
                <color rgb="FF006100"/>
              </font>
              <fill>
                <patternFill>
                  <bgColor rgb="FFC6EFCE"/>
                </patternFill>
              </fill>
            </x14:dxf>
          </x14:cfRule>
          <x14:cfRule type="containsText" priority="2096" operator="containsText" text="WEB SERVICE" id="{B307EA0B-C8F1-4CB6-8F2C-22AC603E7E39}">
            <xm:f>NOT(ISERROR(SEARCH("WEB SERVICE",'TC1'!#REF!)))</xm:f>
            <x14:dxf>
              <font>
                <color rgb="FF9C0006"/>
              </font>
              <fill>
                <patternFill>
                  <bgColor rgb="FFFFC7CE"/>
                </patternFill>
              </fill>
            </x14:dxf>
          </x14:cfRule>
          <xm:sqref>E13:E22</xm:sqref>
        </x14:conditionalFormatting>
        <x14:conditionalFormatting xmlns:xm="http://schemas.microsoft.com/office/excel/2006/main">
          <x14:cfRule type="expression" priority="4092" id="{22EA3FF3-3894-488A-B461-F088073EE119}">
            <xm:f>'TC1'!$B10="Speak"</xm:f>
            <x14:dxf>
              <font>
                <b/>
                <i val="0"/>
                <color rgb="FFFF0000"/>
              </font>
            </x14:dxf>
          </x14:cfRule>
          <xm:sqref>C9:C11</xm:sqref>
        </x14:conditionalFormatting>
        <x14:conditionalFormatting xmlns:xm="http://schemas.microsoft.com/office/excel/2006/main">
          <x14:cfRule type="expression" priority="4095" id="{DC041851-8253-4EC2-B596-542EF1AE07C9}">
            <xm:f>'TC1'!$B10="HANGUP"</xm:f>
            <x14:dxf>
              <font>
                <b/>
                <i val="0"/>
              </font>
            </x14:dxf>
          </x14:cfRule>
          <x14:cfRule type="expression" priority="4096" id="{4943CA47-FF93-488D-923F-8309A98C75CC}">
            <xm:f>'TC1'!$B10="Dial"</xm:f>
            <x14:dxf>
              <font>
                <b/>
                <i val="0"/>
                <color rgb="FFFF0000"/>
              </font>
            </x14:dxf>
          </x14:cfRule>
          <xm:sqref>C9:C11</xm:sqref>
        </x14:conditionalFormatting>
        <x14:conditionalFormatting xmlns:xm="http://schemas.microsoft.com/office/excel/2006/main">
          <x14:cfRule type="expression" priority="10" id="{DF37D87C-938D-4CF9-9BE6-41345F76B528}">
            <xm:f>'TC1'!#REF!="HANGUP"</xm:f>
            <x14:dxf>
              <font>
                <b/>
                <i val="0"/>
              </font>
            </x14:dxf>
          </x14:cfRule>
          <x14:cfRule type="expression" priority="11" id="{39348BD3-9CF2-4FD9-8272-AE9A5AB7E482}">
            <xm:f>'TC1'!#REF!="Dial"</xm:f>
            <x14:dxf>
              <font>
                <b/>
                <i val="0"/>
                <color rgb="FFFF0000"/>
              </font>
            </x14:dxf>
          </x14:cfRule>
          <xm:sqref>C12</xm:sqref>
        </x14:conditionalFormatting>
        <x14:conditionalFormatting xmlns:xm="http://schemas.microsoft.com/office/excel/2006/main">
          <x14:cfRule type="expression" priority="12" id="{A50CF938-B4C9-4C86-A70B-9A0FD419754D}">
            <xm:f>'TC1'!#REF!="Speak"</xm:f>
            <x14:dxf>
              <font>
                <b/>
                <i val="0"/>
                <color rgb="FFFF0000"/>
              </font>
            </x14:dxf>
          </x14:cfRule>
          <xm:sqref>C12</xm:sqref>
        </x14:conditionalFormatting>
        <x14:conditionalFormatting xmlns:xm="http://schemas.microsoft.com/office/excel/2006/main">
          <x14:cfRule type="expression" priority="7" id="{5CB736EA-571C-4D5D-BE1F-483601BCFCEE}">
            <xm:f>'TC1'!#REF!="HANGUP"</xm:f>
            <x14:dxf>
              <font>
                <b/>
                <i val="0"/>
              </font>
            </x14:dxf>
          </x14:cfRule>
          <x14:cfRule type="expression" priority="8" id="{2BB20F69-6781-4445-AE9C-FBABDDE5B3F2}">
            <xm:f>'TC1'!#REF!="Dial"</xm:f>
            <x14:dxf>
              <font>
                <b/>
                <i val="0"/>
                <color rgb="FFFF0000"/>
              </font>
            </x14:dxf>
          </x14:cfRule>
          <xm:sqref>C14</xm:sqref>
        </x14:conditionalFormatting>
        <x14:conditionalFormatting xmlns:xm="http://schemas.microsoft.com/office/excel/2006/main">
          <x14:cfRule type="expression" priority="9" id="{1EC482B2-5486-4171-953F-0F51CF2A2E4B}">
            <xm:f>'TC1'!#REF!="Speak"</xm:f>
            <x14:dxf>
              <font>
                <b/>
                <i val="0"/>
                <color rgb="FFFF0000"/>
              </font>
            </x14:dxf>
          </x14:cfRule>
          <xm:sqref>C14</xm:sqref>
        </x14:conditionalFormatting>
        <x14:conditionalFormatting xmlns:xm="http://schemas.microsoft.com/office/excel/2006/main">
          <x14:cfRule type="expression" priority="4" id="{A263A493-1A55-424E-ACC9-C585FCBBBF1E}">
            <xm:f>'TC1'!#REF!="HANGUP"</xm:f>
            <x14:dxf>
              <font>
                <b/>
                <i val="0"/>
              </font>
            </x14:dxf>
          </x14:cfRule>
          <x14:cfRule type="expression" priority="5" id="{40952A24-7513-4BDA-A7B1-BBD1FA35569C}">
            <xm:f>'TC1'!#REF!="Dial"</xm:f>
            <x14:dxf>
              <font>
                <b/>
                <i val="0"/>
                <color rgb="FFFF0000"/>
              </font>
            </x14:dxf>
          </x14:cfRule>
          <xm:sqref>C16</xm:sqref>
        </x14:conditionalFormatting>
        <x14:conditionalFormatting xmlns:xm="http://schemas.microsoft.com/office/excel/2006/main">
          <x14:cfRule type="expression" priority="6" id="{73A8B1EF-7CA7-4147-9493-F8B62C5B869A}">
            <xm:f>'TC1'!#REF!="Speak"</xm:f>
            <x14:dxf>
              <font>
                <b/>
                <i val="0"/>
                <color rgb="FFFF0000"/>
              </font>
            </x14:dxf>
          </x14:cfRule>
          <xm:sqref>C16</xm:sqref>
        </x14:conditionalFormatting>
        <x14:conditionalFormatting xmlns:xm="http://schemas.microsoft.com/office/excel/2006/main">
          <x14:cfRule type="expression" priority="1" id="{65CBE192-B413-4BEF-BBB5-30317CBC3611}">
            <xm:f>'TC1'!#REF!="HANGUP"</xm:f>
            <x14:dxf>
              <font>
                <b/>
                <i val="0"/>
              </font>
            </x14:dxf>
          </x14:cfRule>
          <x14:cfRule type="expression" priority="2" id="{1A610E85-C44F-45E0-AA4B-A9AE0E6A0A49}">
            <xm:f>'TC1'!#REF!="Dial"</xm:f>
            <x14:dxf>
              <font>
                <b/>
                <i val="0"/>
                <color rgb="FFFF0000"/>
              </font>
            </x14:dxf>
          </x14:cfRule>
          <xm:sqref>C18</xm:sqref>
        </x14:conditionalFormatting>
        <x14:conditionalFormatting xmlns:xm="http://schemas.microsoft.com/office/excel/2006/main">
          <x14:cfRule type="expression" priority="3" id="{0D20D6F1-47FD-4F1E-B997-28266F2697AD}">
            <xm:f>'TC1'!#REF!="Speak"</xm:f>
            <x14:dxf>
              <font>
                <b/>
                <i val="0"/>
                <color rgb="FFFF0000"/>
              </font>
            </x14:dxf>
          </x14:cfRule>
          <xm:sqref>C18</xm:sqref>
        </x14:conditionalFormatting>
      </x14:conditionalFormattings>
    </ext>
  </extLst>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3"/>
  <dimension ref="A1:E39"/>
  <sheetViews>
    <sheetView zoomScaleNormal="100" workbookViewId="0">
      <selection activeCell="A23" sqref="A23"/>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TC91</v>
      </c>
    </row>
    <row r="3" spans="1:5">
      <c r="A3" s="100" t="s">
        <v>19</v>
      </c>
      <c r="B3" s="108">
        <f ca="1">VLOOKUP(B2,Table53[#All],2,FALSE)</f>
        <v>0</v>
      </c>
    </row>
    <row r="4" spans="1:5" ht="45">
      <c r="A4" s="109" t="s">
        <v>20</v>
      </c>
      <c r="B4" s="95" t="str">
        <f ca="1">VLOOKUP(B2,Table53[#All],4,FALSE)</f>
        <v>svcArea=titleSvcs, serviceType=chgOwnership, Not in progress or complete &lt;90days. 325-V-ND-T</v>
      </c>
      <c r="C4" s="94" t="s">
        <v>247</v>
      </c>
    </row>
    <row r="5" spans="1:5" ht="28.9" customHeight="1">
      <c r="A5" s="100" t="s">
        <v>6</v>
      </c>
      <c r="B5" s="75" t="str">
        <f ca="1">VLOOKUP(B2,Table53[#All],3,FALSE)</f>
        <v>CallStart Main Menu /Title /Ownership changes/ID Auth=True/ownership trust at ChangeMenu/HU after hearing peg 0330</v>
      </c>
    </row>
    <row r="7" spans="1:5" ht="15.75">
      <c r="A7" s="96" t="s">
        <v>7</v>
      </c>
      <c r="B7" s="97" t="s">
        <v>8</v>
      </c>
      <c r="C7" s="98" t="s">
        <v>9</v>
      </c>
      <c r="D7" s="98" t="s">
        <v>14</v>
      </c>
      <c r="E7" s="99" t="s">
        <v>10</v>
      </c>
    </row>
    <row r="8" spans="1:5">
      <c r="A8" s="114">
        <v>1</v>
      </c>
      <c r="B8" s="110" t="s">
        <v>114</v>
      </c>
      <c r="C8" s="105" t="s">
        <v>125</v>
      </c>
      <c r="D8" s="125"/>
      <c r="E8" s="122" t="s">
        <v>11</v>
      </c>
    </row>
    <row r="9" spans="1:5" s="93" customFormat="1">
      <c r="A9" s="114">
        <v>2</v>
      </c>
      <c r="B9" s="110" t="s">
        <v>115</v>
      </c>
      <c r="C9" s="105" t="str">
        <f>VLOOKUP(Table25751980[[#This Row],[PEG]],Table1016[#All],2,FALSE)</f>
        <v>CallID.wav Call ID &lt;CallID&gt;</v>
      </c>
      <c r="D9" s="152" t="s">
        <v>477</v>
      </c>
      <c r="E9" s="122" t="str">
        <f>VLOOKUP(Table25751980[[#This Row],[PEG]],Table1016[#All],3,FALSE)</f>
        <v>TEST</v>
      </c>
    </row>
    <row r="10" spans="1:5" s="93" customFormat="1" ht="30">
      <c r="A10" s="114">
        <v>3</v>
      </c>
      <c r="B10" s="110" t="s">
        <v>115</v>
      </c>
      <c r="C10" s="105" t="str">
        <f>VLOOKUP(Table25751980[[#This Row],[PEG]],Table1016[#All],2,FALSE)</f>
        <v>0100.wav Thank you for calling Shell vacations Club, we are glad you called. Please have your account number available for faster service. [To continue in Spanish, press 9]</v>
      </c>
      <c r="D10" s="152">
        <v>100</v>
      </c>
      <c r="E10" s="122" t="str">
        <f>VLOOKUP(Table25751980[[#This Row],[PEG]],Table1016[#All],3,FALSE)</f>
        <v>PLAY PROMPT</v>
      </c>
    </row>
    <row r="11" spans="1:5" s="93" customFormat="1" ht="30">
      <c r="A11" s="114">
        <v>4</v>
      </c>
      <c r="B11" s="110" t="s">
        <v>115</v>
      </c>
      <c r="C11" s="105" t="str">
        <f>VLOOKUP(Table25751980[[#This Row],[PEG]],Table1016[#All],2,FALSE)</f>
        <v>0110-1.wav Which would you like? You can say... reservations, payments &amp; statements, title &amp; ownership changes, or more options.</v>
      </c>
      <c r="D11" s="152">
        <v>110</v>
      </c>
      <c r="E11" s="122" t="str">
        <f>VLOOKUP(Table25751980[[#This Row],[PEG]],Table1016[#All],3,FALSE)</f>
        <v>MENU PROMPT</v>
      </c>
    </row>
    <row r="12" spans="1:5" s="93" customFormat="1">
      <c r="A12" s="114">
        <v>5</v>
      </c>
      <c r="B12" s="110" t="s">
        <v>124</v>
      </c>
      <c r="C12" s="151" t="s">
        <v>527</v>
      </c>
      <c r="D12" s="152"/>
      <c r="E12" s="122" t="e">
        <f>VLOOKUP(Table25751980[[#This Row],[PEG]],Table1016[#All],3,FALSE)</f>
        <v>#N/A</v>
      </c>
    </row>
    <row r="13" spans="1:5" s="93" customFormat="1" ht="30">
      <c r="A13" s="114">
        <v>6</v>
      </c>
      <c r="B13" s="110" t="s">
        <v>115</v>
      </c>
      <c r="C13" s="105" t="str">
        <f>VLOOKUP(Table25751980[[#This Row],[PEG]],Table1016[#All],2,FALSE)</f>
        <v>0300-1.wav You can say ownership changes, check status, make a payment, or help me with something else. Which would you like?</v>
      </c>
      <c r="D13" s="152">
        <v>300</v>
      </c>
      <c r="E13" s="122" t="str">
        <f>VLOOKUP(Table25751980[[#This Row],[PEG]],Table1016[#All],3,FALSE)</f>
        <v>MENU PROMPT</v>
      </c>
    </row>
    <row r="14" spans="1:5" s="93" customFormat="1">
      <c r="A14" s="114">
        <v>7</v>
      </c>
      <c r="B14" s="110" t="s">
        <v>124</v>
      </c>
      <c r="C14" s="151" t="s">
        <v>527</v>
      </c>
      <c r="D14" s="125"/>
      <c r="E14" s="122" t="e">
        <f>VLOOKUP(Table25751980[[#This Row],[PEG]],Table1016[#All],3,FALSE)</f>
        <v>#N/A</v>
      </c>
    </row>
    <row r="15" spans="1:5">
      <c r="A15" s="114">
        <v>8</v>
      </c>
      <c r="B15" s="110" t="s">
        <v>115</v>
      </c>
      <c r="C15" s="105" t="str">
        <f>VLOOKUP(Table25751980[[#This Row],[PEG]],Table1016[#All],2,FALSE)</f>
        <v>0200-1.wav To get started, what is your account number?</v>
      </c>
      <c r="D15" s="153">
        <v>200</v>
      </c>
      <c r="E15" s="122" t="str">
        <f>VLOOKUP(Table25751980[[#This Row],[PEG]],Table1016[#All],3,FALSE)</f>
        <v>MENU PROMPT</v>
      </c>
    </row>
    <row r="16" spans="1:5">
      <c r="A16" s="114">
        <v>9</v>
      </c>
      <c r="B16" s="110" t="s">
        <v>114</v>
      </c>
      <c r="C16" s="151" t="s">
        <v>515</v>
      </c>
      <c r="D16" s="112"/>
      <c r="E16" s="122" t="e">
        <f>VLOOKUP(Table25751980[[#This Row],[PEG]],Table1016[#All],3,FALSE)</f>
        <v>#N/A</v>
      </c>
    </row>
    <row r="17" spans="1:5">
      <c r="A17" s="114">
        <v>10</v>
      </c>
      <c r="B17" s="110" t="s">
        <v>115</v>
      </c>
      <c r="C17" s="105" t="str">
        <f>VLOOKUP(Table25751980[[#This Row],[PEG]],Table1016[#All],2,FALSE)</f>
        <v>0210-1.wav And the date of birth for the primary owner?</v>
      </c>
      <c r="D17" s="154">
        <v>210</v>
      </c>
      <c r="E17" s="122" t="str">
        <f>VLOOKUP(Table25751980[[#This Row],[PEG]],Table1016[#All],3,FALSE)</f>
        <v>MENU PROMPT</v>
      </c>
    </row>
    <row r="18" spans="1:5">
      <c r="A18" s="114">
        <v>11</v>
      </c>
      <c r="B18" s="110" t="s">
        <v>124</v>
      </c>
      <c r="C18" s="151" t="s">
        <v>524</v>
      </c>
      <c r="D18" s="113"/>
      <c r="E18" s="122" t="e">
        <f>VLOOKUP(Table25751980[[#This Row],[PEG]],Table1016[#All],3,FALSE)</f>
        <v>#N/A</v>
      </c>
    </row>
    <row r="19" spans="1:5" ht="45">
      <c r="A19" s="114">
        <v>12</v>
      </c>
      <c r="B19" s="110" t="s">
        <v>115</v>
      </c>
      <c r="C19" s="105" t="str">
        <f>VLOOKUP(Table25751980[[#This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54">
        <v>320</v>
      </c>
      <c r="E19" s="122" t="str">
        <f>VLOOKUP(Table25751980[[#This Row],[PEG]],Table1016[#All],3,FALSE)</f>
        <v>MENU PROMPT</v>
      </c>
    </row>
    <row r="20" spans="1:5">
      <c r="A20" s="114">
        <v>13</v>
      </c>
      <c r="B20" s="110" t="s">
        <v>124</v>
      </c>
      <c r="C20" s="151" t="s">
        <v>559</v>
      </c>
      <c r="D20" s="113"/>
      <c r="E20" s="122" t="e">
        <f>VLOOKUP(Table25751980[[#This Row],[PEG]],Table1016[#All],3,FALSE)</f>
        <v>#N/A</v>
      </c>
    </row>
    <row r="21" spans="1:5" ht="90">
      <c r="A21" s="114">
        <v>14</v>
      </c>
      <c r="B21" s="110" t="s">
        <v>115</v>
      </c>
      <c r="C21" s="105" t="str">
        <f>VLOOKUP(Table25751980[[#This Row],[PEG]],Table1016[#All],2,FALSE)</f>
        <v>Wyndham requires a $299 processing fee to update ownership, in addition, a written request with each of the Trustee’s or company representative, first and last name, address, phone number, email address, date of birth, and copy of government issued ID. Please send the information to 6277 Sea Harbor Drive, Orlando Florida 32821, attention, Worldmark Ownership Change. In addition, please send a copy of your trust documents or corporate documents and current certificate of good standing. Once the information and fee is received, Wyndham will send paperwork to reference the trust and company in the account to be signed in front of a notary and returned.</v>
      </c>
      <c r="D21" s="94" t="s">
        <v>247</v>
      </c>
      <c r="E21" s="122" t="str">
        <f>VLOOKUP(Table25751980[[#This Row],[PEG]],Table1016[#All],3,FALSE)</f>
        <v>PLAY PROMPT</v>
      </c>
    </row>
    <row r="22" spans="1:5" ht="30">
      <c r="A22" s="114">
        <v>15</v>
      </c>
      <c r="B22" s="110" t="s">
        <v>115</v>
      </c>
      <c r="C22" s="105" t="str">
        <f>VLOOKUP(Table25751980[[#This Row],[PEG]],Table1016[#All],2,FALSE)</f>
        <v>0330-1.wav To hear this information again, say repeat that. If you would like me to send you a letter with instructions to start the process, say information letter.</v>
      </c>
      <c r="D22" s="154">
        <v>330</v>
      </c>
      <c r="E22" s="122" t="str">
        <f>VLOOKUP(Table25751980[[#This Row],[PEG]],Table1016[#All],3,FALSE)</f>
        <v>MENU PROMPT</v>
      </c>
    </row>
    <row r="23" spans="1:5">
      <c r="A23" s="114">
        <v>16</v>
      </c>
      <c r="B23" s="110" t="s">
        <v>13</v>
      </c>
      <c r="C23" s="17" t="s">
        <v>13</v>
      </c>
      <c r="D23" s="111"/>
      <c r="E23" s="31"/>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6"/>
    </row>
    <row r="38" spans="3:3">
      <c r="C38" s="26"/>
    </row>
    <row r="39" spans="3:3">
      <c r="C39" s="26"/>
    </row>
  </sheetData>
  <mergeCells count="1">
    <mergeCell ref="A1:B1"/>
  </mergeCells>
  <conditionalFormatting sqref="C24:C9978">
    <cfRule type="expression" dxfId="3555" priority="67">
      <formula>$B24="Dial"</formula>
    </cfRule>
    <cfRule type="expression" dxfId="3554" priority="69">
      <formula>$B24="HANGUP"</formula>
    </cfRule>
  </conditionalFormatting>
  <conditionalFormatting sqref="B23">
    <cfRule type="containsText" dxfId="3553" priority="22" operator="containsText" text="Hear">
      <formula>NOT(ISERROR(SEARCH("Hear",B23)))</formula>
    </cfRule>
  </conditionalFormatting>
  <conditionalFormatting sqref="E23">
    <cfRule type="containsText" dxfId="3552" priority="30" operator="containsText" text="WEB SERVICE">
      <formula>NOT(ISERROR(SEARCH("WEB SERVICE",E23)))</formula>
    </cfRule>
    <cfRule type="containsText" dxfId="3551" priority="31" operator="containsText" text="DB">
      <formula>NOT(ISERROR(SEARCH("DB",E23)))</formula>
    </cfRule>
  </conditionalFormatting>
  <conditionalFormatting sqref="C23">
    <cfRule type="expression" dxfId="3550" priority="33">
      <formula>$B23="Dial"</formula>
    </cfRule>
    <cfRule type="expression" dxfId="3549" priority="35">
      <formula>$B23="HANGUP"</formula>
    </cfRule>
  </conditionalFormatting>
  <conditionalFormatting sqref="C23">
    <cfRule type="expression" dxfId="3548" priority="34">
      <formula>$B23="Speak"</formula>
    </cfRule>
  </conditionalFormatting>
  <conditionalFormatting sqref="B8">
    <cfRule type="containsText" dxfId="3547" priority="19" operator="containsText" text="Hear">
      <formula>NOT(ISERROR(SEARCH("Hear",B8)))</formula>
    </cfRule>
  </conditionalFormatting>
  <conditionalFormatting sqref="B20:B22">
    <cfRule type="containsText" dxfId="3546" priority="18" operator="containsText" text="Hear">
      <formula>NOT(ISERROR(SEARCH("Hear",B20)))</formula>
    </cfRule>
  </conditionalFormatting>
  <conditionalFormatting sqref="B18:B19">
    <cfRule type="containsText" dxfId="3545" priority="17" operator="containsText" text="Hear">
      <formula>NOT(ISERROR(SEARCH("Hear",B18)))</formula>
    </cfRule>
  </conditionalFormatting>
  <conditionalFormatting sqref="B9:B17">
    <cfRule type="containsText" dxfId="3544" priority="16" operator="containsText" text="Hear">
      <formula>NOT(ISERROR(SEARCH("Hear",B9)))</formula>
    </cfRule>
  </conditionalFormatting>
  <hyperlinks>
    <hyperlink ref="A1" location="'Test Case Overview'!A1" display="Return to Test Case Overview" xr:uid="{00000000-0004-0000-5B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45" id="{4A11DB4B-9AC9-4528-AC41-66985381EF85}">
            <xm:f>'TC1'!$B8="Speak"</xm:f>
            <x14:dxf>
              <font>
                <b/>
                <i val="0"/>
                <color rgb="FFFF0000"/>
              </font>
            </x14:dxf>
          </x14:cfRule>
          <xm:sqref>C8</xm:sqref>
        </x14:conditionalFormatting>
        <x14:conditionalFormatting xmlns:xm="http://schemas.microsoft.com/office/excel/2006/main">
          <x14:cfRule type="expression" priority="26" id="{6D734352-1AFA-4A24-B67C-E1F055B83282}">
            <xm:f>'TC1'!$B8="HANGUP"</xm:f>
            <x14:dxf>
              <font>
                <b/>
                <i val="0"/>
              </font>
            </x14:dxf>
          </x14:cfRule>
          <x14:cfRule type="expression" priority="27" id="{6FD0FC8A-0F08-4870-B6B6-1C12A1A866D9}">
            <xm:f>'TC1'!$B8="Dial"</xm:f>
            <x14:dxf>
              <font>
                <b/>
                <i val="0"/>
                <color rgb="FFFF0000"/>
              </font>
            </x14:dxf>
          </x14:cfRule>
          <xm:sqref>C8</xm:sqref>
        </x14:conditionalFormatting>
        <x14:conditionalFormatting xmlns:xm="http://schemas.microsoft.com/office/excel/2006/main">
          <x14:cfRule type="containsText" priority="25" operator="containsText" text="DB" id="{201B64B2-CF50-40DF-98F8-51752235DF46}">
            <xm:f>NOT(ISERROR(SEARCH("DB",'TC1'!E10)))</xm:f>
            <x14:dxf>
              <font>
                <color rgb="FF006100"/>
              </font>
              <fill>
                <patternFill>
                  <bgColor rgb="FFC6EFCE"/>
                </patternFill>
              </fill>
            </x14:dxf>
          </x14:cfRule>
          <x14:cfRule type="containsText" priority="29" operator="containsText" text="WEB SERVICE" id="{6AB89B40-EF3D-4845-B32D-3991D8A21432}">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2104" id="{4A11DB4B-9AC9-4528-AC41-66985381EF85}">
            <xm:f>'TC1'!#REF!="Speak"</xm:f>
            <x14:dxf>
              <font>
                <b/>
                <i val="0"/>
                <color rgb="FFFF0000"/>
              </font>
            </x14:dxf>
          </x14:cfRule>
          <xm:sqref>C13 C15 C17 C19:C22</xm:sqref>
        </x14:conditionalFormatting>
        <x14:conditionalFormatting xmlns:xm="http://schemas.microsoft.com/office/excel/2006/main">
          <x14:cfRule type="expression" priority="2110" id="{6D734352-1AFA-4A24-B67C-E1F055B83282}">
            <xm:f>'TC1'!#REF!="HANGUP"</xm:f>
            <x14:dxf>
              <font>
                <b/>
                <i val="0"/>
              </font>
            </x14:dxf>
          </x14:cfRule>
          <x14:cfRule type="expression" priority="2111" id="{6FD0FC8A-0F08-4870-B6B6-1C12A1A866D9}">
            <xm:f>'TC1'!#REF!="Dial"</xm:f>
            <x14:dxf>
              <font>
                <b/>
                <i val="0"/>
                <color rgb="FFFF0000"/>
              </font>
            </x14:dxf>
          </x14:cfRule>
          <xm:sqref>C13 C15 C17 C19:C22</xm:sqref>
        </x14:conditionalFormatting>
        <x14:conditionalFormatting xmlns:xm="http://schemas.microsoft.com/office/excel/2006/main">
          <x14:cfRule type="containsText" priority="2118" operator="containsText" text="DB" id="{201B64B2-CF50-40DF-98F8-51752235DF46}">
            <xm:f>NOT(ISERROR(SEARCH("DB",'TC1'!#REF!)))</xm:f>
            <x14:dxf>
              <font>
                <color rgb="FF006100"/>
              </font>
              <fill>
                <patternFill>
                  <bgColor rgb="FFC6EFCE"/>
                </patternFill>
              </fill>
            </x14:dxf>
          </x14:cfRule>
          <x14:cfRule type="containsText" priority="2119" operator="containsText" text="WEB SERVICE" id="{6AB89B40-EF3D-4845-B32D-3991D8A21432}">
            <xm:f>NOT(ISERROR(SEARCH("WEB SERVICE",'TC1'!#REF!)))</xm:f>
            <x14:dxf>
              <font>
                <color rgb="FF9C0006"/>
              </font>
              <fill>
                <patternFill>
                  <bgColor rgb="FFFFC7CE"/>
                </patternFill>
              </fill>
            </x14:dxf>
          </x14:cfRule>
          <xm:sqref>E13:E22</xm:sqref>
        </x14:conditionalFormatting>
        <x14:conditionalFormatting xmlns:xm="http://schemas.microsoft.com/office/excel/2006/main">
          <x14:cfRule type="expression" priority="4103" id="{4A11DB4B-9AC9-4528-AC41-66985381EF85}">
            <xm:f>'TC1'!$B10="Speak"</xm:f>
            <x14:dxf>
              <font>
                <b/>
                <i val="0"/>
                <color rgb="FFFF0000"/>
              </font>
            </x14:dxf>
          </x14:cfRule>
          <xm:sqref>C9:C11</xm:sqref>
        </x14:conditionalFormatting>
        <x14:conditionalFormatting xmlns:xm="http://schemas.microsoft.com/office/excel/2006/main">
          <x14:cfRule type="expression" priority="4106" id="{6D734352-1AFA-4A24-B67C-E1F055B83282}">
            <xm:f>'TC1'!$B10="HANGUP"</xm:f>
            <x14:dxf>
              <font>
                <b/>
                <i val="0"/>
              </font>
            </x14:dxf>
          </x14:cfRule>
          <x14:cfRule type="expression" priority="4107" id="{6FD0FC8A-0F08-4870-B6B6-1C12A1A866D9}">
            <xm:f>'TC1'!$B10="Dial"</xm:f>
            <x14:dxf>
              <font>
                <b/>
                <i val="0"/>
                <color rgb="FFFF0000"/>
              </font>
            </x14:dxf>
          </x14:cfRule>
          <xm:sqref>C9:C11</xm:sqref>
        </x14:conditionalFormatting>
        <x14:conditionalFormatting xmlns:xm="http://schemas.microsoft.com/office/excel/2006/main">
          <x14:cfRule type="expression" priority="1" id="{B498692F-1A86-4602-8686-4BECCF9920A1}">
            <xm:f>'TC1'!#REF!="HANGUP"</xm:f>
            <x14:dxf>
              <font>
                <b/>
                <i val="0"/>
              </font>
            </x14:dxf>
          </x14:cfRule>
          <x14:cfRule type="expression" priority="2" id="{9F26D684-C33C-40D8-9A23-913A6F727480}">
            <xm:f>'TC1'!#REF!="Dial"</xm:f>
            <x14:dxf>
              <font>
                <b/>
                <i val="0"/>
                <color rgb="FFFF0000"/>
              </font>
            </x14:dxf>
          </x14:cfRule>
          <xm:sqref>C18</xm:sqref>
        </x14:conditionalFormatting>
        <x14:conditionalFormatting xmlns:xm="http://schemas.microsoft.com/office/excel/2006/main">
          <x14:cfRule type="expression" priority="3" id="{DA4587CB-EA14-4BEC-BF23-F4A536A1F9D8}">
            <xm:f>'TC1'!#REF!="Speak"</xm:f>
            <x14:dxf>
              <font>
                <b/>
                <i val="0"/>
                <color rgb="FFFF0000"/>
              </font>
            </x14:dxf>
          </x14:cfRule>
          <xm:sqref>C18</xm:sqref>
        </x14:conditionalFormatting>
        <x14:conditionalFormatting xmlns:xm="http://schemas.microsoft.com/office/excel/2006/main">
          <x14:cfRule type="expression" priority="10" id="{8FF1CDA6-5F85-47B4-8A58-AABD5CFF5D20}">
            <xm:f>'TC1'!#REF!="HANGUP"</xm:f>
            <x14:dxf>
              <font>
                <b/>
                <i val="0"/>
              </font>
            </x14:dxf>
          </x14:cfRule>
          <x14:cfRule type="expression" priority="11" id="{7DD3D352-20BD-4847-BCD6-5146C48893CB}">
            <xm:f>'TC1'!#REF!="Dial"</xm:f>
            <x14:dxf>
              <font>
                <b/>
                <i val="0"/>
                <color rgb="FFFF0000"/>
              </font>
            </x14:dxf>
          </x14:cfRule>
          <xm:sqref>C12</xm:sqref>
        </x14:conditionalFormatting>
        <x14:conditionalFormatting xmlns:xm="http://schemas.microsoft.com/office/excel/2006/main">
          <x14:cfRule type="expression" priority="12" id="{87BEEC41-AFFC-4FBE-8F20-989A1D3F449D}">
            <xm:f>'TC1'!#REF!="Speak"</xm:f>
            <x14:dxf>
              <font>
                <b/>
                <i val="0"/>
                <color rgb="FFFF0000"/>
              </font>
            </x14:dxf>
          </x14:cfRule>
          <xm:sqref>C12</xm:sqref>
        </x14:conditionalFormatting>
        <x14:conditionalFormatting xmlns:xm="http://schemas.microsoft.com/office/excel/2006/main">
          <x14:cfRule type="expression" priority="7" id="{F6F95DB3-0079-41EA-8F0B-877B3727ECA7}">
            <xm:f>'TC1'!#REF!="HANGUP"</xm:f>
            <x14:dxf>
              <font>
                <b/>
                <i val="0"/>
              </font>
            </x14:dxf>
          </x14:cfRule>
          <x14:cfRule type="expression" priority="8" id="{4EF65CD4-EAC0-4599-BF9D-5331E648829C}">
            <xm:f>'TC1'!#REF!="Dial"</xm:f>
            <x14:dxf>
              <font>
                <b/>
                <i val="0"/>
                <color rgb="FFFF0000"/>
              </font>
            </x14:dxf>
          </x14:cfRule>
          <xm:sqref>C14</xm:sqref>
        </x14:conditionalFormatting>
        <x14:conditionalFormatting xmlns:xm="http://schemas.microsoft.com/office/excel/2006/main">
          <x14:cfRule type="expression" priority="9" id="{CD51DCF2-025B-42A5-912B-A4A5E8AB6C99}">
            <xm:f>'TC1'!#REF!="Speak"</xm:f>
            <x14:dxf>
              <font>
                <b/>
                <i val="0"/>
                <color rgb="FFFF0000"/>
              </font>
            </x14:dxf>
          </x14:cfRule>
          <xm:sqref>C14</xm:sqref>
        </x14:conditionalFormatting>
        <x14:conditionalFormatting xmlns:xm="http://schemas.microsoft.com/office/excel/2006/main">
          <x14:cfRule type="expression" priority="4" id="{21AFC78C-4BCF-4F9C-991C-2890C3BDE99F}">
            <xm:f>'TC1'!#REF!="HANGUP"</xm:f>
            <x14:dxf>
              <font>
                <b/>
                <i val="0"/>
              </font>
            </x14:dxf>
          </x14:cfRule>
          <x14:cfRule type="expression" priority="5" id="{9F2C1132-B903-4D19-AEF4-9B3E74906956}">
            <xm:f>'TC1'!#REF!="Dial"</xm:f>
            <x14:dxf>
              <font>
                <b/>
                <i val="0"/>
                <color rgb="FFFF0000"/>
              </font>
            </x14:dxf>
          </x14:cfRule>
          <xm:sqref>C16</xm:sqref>
        </x14:conditionalFormatting>
        <x14:conditionalFormatting xmlns:xm="http://schemas.microsoft.com/office/excel/2006/main">
          <x14:cfRule type="expression" priority="6" id="{FF3D31AB-072A-462B-B5EA-6AEA700E562D}">
            <xm:f>'TC1'!#REF!="Speak"</xm:f>
            <x14:dxf>
              <font>
                <b/>
                <i val="0"/>
                <color rgb="FFFF0000"/>
              </font>
            </x14:dxf>
          </x14:cfRule>
          <xm:sqref>C16</xm:sqref>
        </x14:conditionalFormatting>
      </x14:conditionalFormattings>
    </ext>
  </extLst>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4"/>
  <dimension ref="A1:E28"/>
  <sheetViews>
    <sheetView zoomScaleNormal="100" workbookViewId="0">
      <selection activeCell="A23" sqref="A23"/>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TC92</v>
      </c>
    </row>
    <row r="3" spans="1:5">
      <c r="A3" s="100" t="s">
        <v>19</v>
      </c>
      <c r="B3" s="108">
        <f ca="1">VLOOKUP(B2,Table53[#All],2,FALSE)</f>
        <v>0</v>
      </c>
    </row>
    <row r="4" spans="1:5" ht="45">
      <c r="A4" s="109" t="s">
        <v>20</v>
      </c>
      <c r="B4" s="95" t="str">
        <f ca="1">VLOOKUP(B2,Table53[#All],4,FALSE)</f>
        <v>svcArea=titleSvcs, serviceType=chgOwnership, Not in progress or complete &lt;90days. 325-V-DD-T</v>
      </c>
      <c r="C4" s="94" t="s">
        <v>249</v>
      </c>
    </row>
    <row r="5" spans="1:5" ht="45">
      <c r="A5" s="100" t="s">
        <v>6</v>
      </c>
      <c r="B5" s="75" t="str">
        <f ca="1">VLOOKUP(B2,Table53[#All],3,FALSE)</f>
        <v xml:space="preserve">CallStart Main Menu /Title /Ownership changes/ID Auth=True/ownership trust at ChangeMenu/HU after hearing peg 0330 </v>
      </c>
    </row>
    <row r="7" spans="1:5" ht="15.75">
      <c r="A7" s="96" t="s">
        <v>7</v>
      </c>
      <c r="B7" s="97" t="s">
        <v>8</v>
      </c>
      <c r="C7" s="98" t="s">
        <v>9</v>
      </c>
      <c r="D7" s="98" t="s">
        <v>14</v>
      </c>
      <c r="E7" s="99" t="s">
        <v>10</v>
      </c>
    </row>
    <row r="8" spans="1:5">
      <c r="A8" s="114">
        <v>1</v>
      </c>
      <c r="B8" s="110" t="s">
        <v>114</v>
      </c>
      <c r="C8" s="105" t="s">
        <v>125</v>
      </c>
      <c r="D8" s="125"/>
      <c r="E8" s="122" t="s">
        <v>11</v>
      </c>
    </row>
    <row r="9" spans="1:5" s="93" customFormat="1">
      <c r="A9" s="114">
        <v>2</v>
      </c>
      <c r="B9" s="110" t="s">
        <v>115</v>
      </c>
      <c r="C9" s="105" t="str">
        <f>VLOOKUP(Table25751981[[#This Row],[PEG]],Table1016[#All],2,FALSE)</f>
        <v>CallID.wav Call ID &lt;CallID&gt;</v>
      </c>
      <c r="D9" s="152" t="s">
        <v>477</v>
      </c>
      <c r="E9" s="122" t="str">
        <f>VLOOKUP(Table25751981[[#This Row],[PEG]],Table1016[#All],3,FALSE)</f>
        <v>TEST</v>
      </c>
    </row>
    <row r="10" spans="1:5" s="93" customFormat="1" ht="30">
      <c r="A10" s="114">
        <v>3</v>
      </c>
      <c r="B10" s="110" t="s">
        <v>115</v>
      </c>
      <c r="C10" s="105" t="str">
        <f>VLOOKUP(Table25751981[[#This Row],[PEG]],Table1016[#All],2,FALSE)</f>
        <v>0100.wav Thank you for calling Shell vacations Club, we are glad you called. Please have your account number available for faster service. [To continue in Spanish, press 9]</v>
      </c>
      <c r="D10" s="152">
        <v>100</v>
      </c>
      <c r="E10" s="122" t="str">
        <f>VLOOKUP(Table25751981[[#This Row],[PEG]],Table1016[#All],3,FALSE)</f>
        <v>PLAY PROMPT</v>
      </c>
    </row>
    <row r="11" spans="1:5" s="93" customFormat="1" ht="30">
      <c r="A11" s="114">
        <v>4</v>
      </c>
      <c r="B11" s="110" t="s">
        <v>115</v>
      </c>
      <c r="C11" s="105" t="str">
        <f>VLOOKUP(Table25751981[[#This Row],[PEG]],Table1016[#All],2,FALSE)</f>
        <v>0110-1.wav Which would you like? You can say... reservations, payments &amp; statements, title &amp; ownership changes, or more options.</v>
      </c>
      <c r="D11" s="152">
        <v>110</v>
      </c>
      <c r="E11" s="122" t="str">
        <f>VLOOKUP(Table25751981[[#This Row],[PEG]],Table1016[#All],3,FALSE)</f>
        <v>MENU PROMPT</v>
      </c>
    </row>
    <row r="12" spans="1:5" s="93" customFormat="1">
      <c r="A12" s="114">
        <v>5</v>
      </c>
      <c r="B12" s="110" t="s">
        <v>124</v>
      </c>
      <c r="C12" s="151" t="s">
        <v>486</v>
      </c>
      <c r="D12" s="152"/>
      <c r="E12" s="122" t="e">
        <f>VLOOKUP(Table25751981[[#This Row],[PEG]],Table1016[#All],3,FALSE)</f>
        <v>#N/A</v>
      </c>
    </row>
    <row r="13" spans="1:5" s="93" customFormat="1" ht="30">
      <c r="A13" s="114">
        <v>6</v>
      </c>
      <c r="B13" s="110" t="s">
        <v>115</v>
      </c>
      <c r="C13" s="105" t="str">
        <f>VLOOKUP(Table25751981[[#This Row],[PEG]],Table1016[#All],2,FALSE)</f>
        <v>0300-1.wav You can say ownership changes, check status, make a payment, or help me with something else. Which would you like?</v>
      </c>
      <c r="D13" s="152">
        <v>300</v>
      </c>
      <c r="E13" s="122" t="str">
        <f>VLOOKUP(Table25751981[[#This Row],[PEG]],Table1016[#All],3,FALSE)</f>
        <v>MENU PROMPT</v>
      </c>
    </row>
    <row r="14" spans="1:5" s="93" customFormat="1">
      <c r="A14" s="114">
        <v>7</v>
      </c>
      <c r="B14" s="110" t="s">
        <v>124</v>
      </c>
      <c r="C14" s="151" t="s">
        <v>527</v>
      </c>
      <c r="D14" s="125"/>
      <c r="E14" s="122" t="e">
        <f>VLOOKUP(Table25751981[[#This Row],[PEG]],Table1016[#All],3,FALSE)</f>
        <v>#N/A</v>
      </c>
    </row>
    <row r="15" spans="1:5">
      <c r="A15" s="114">
        <v>8</v>
      </c>
      <c r="B15" s="110" t="s">
        <v>115</v>
      </c>
      <c r="C15" s="105" t="str">
        <f>VLOOKUP(Table25751981[[#This Row],[PEG]],Table1016[#All],2,FALSE)</f>
        <v>0200-1.wav To get started, what is your account number?</v>
      </c>
      <c r="D15" s="153">
        <v>200</v>
      </c>
      <c r="E15" s="122" t="str">
        <f>VLOOKUP(Table25751981[[#This Row],[PEG]],Table1016[#All],3,FALSE)</f>
        <v>MENU PROMPT</v>
      </c>
    </row>
    <row r="16" spans="1:5">
      <c r="A16" s="114">
        <v>9</v>
      </c>
      <c r="B16" s="110" t="s">
        <v>114</v>
      </c>
      <c r="C16" s="151" t="s">
        <v>515</v>
      </c>
      <c r="D16" s="112"/>
      <c r="E16" s="122" t="e">
        <f>VLOOKUP(Table25751981[[#This Row],[PEG]],Table1016[#All],3,FALSE)</f>
        <v>#N/A</v>
      </c>
    </row>
    <row r="17" spans="1:5">
      <c r="A17" s="114">
        <v>10</v>
      </c>
      <c r="B17" s="110" t="s">
        <v>115</v>
      </c>
      <c r="C17" s="105" t="str">
        <f>VLOOKUP(Table25751981[[#This Row],[PEG]],Table1016[#All],2,FALSE)</f>
        <v>0210-1.wav And the date of birth for the primary owner?</v>
      </c>
      <c r="D17" s="154">
        <v>210</v>
      </c>
      <c r="E17" s="122" t="str">
        <f>VLOOKUP(Table25751981[[#This Row],[PEG]],Table1016[#All],3,FALSE)</f>
        <v>MENU PROMPT</v>
      </c>
    </row>
    <row r="18" spans="1:5">
      <c r="A18" s="114">
        <v>11</v>
      </c>
      <c r="B18" s="110" t="s">
        <v>124</v>
      </c>
      <c r="C18" s="151" t="s">
        <v>524</v>
      </c>
      <c r="D18" s="113"/>
      <c r="E18" s="122" t="e">
        <f>VLOOKUP(Table25751981[[#This Row],[PEG]],Table1016[#All],3,FALSE)</f>
        <v>#N/A</v>
      </c>
    </row>
    <row r="19" spans="1:5" ht="45">
      <c r="A19" s="114">
        <v>12</v>
      </c>
      <c r="B19" s="110" t="s">
        <v>115</v>
      </c>
      <c r="C19" s="105" t="str">
        <f>VLOOKUP(Table25751981[[#This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54">
        <v>320</v>
      </c>
      <c r="E19" s="122" t="str">
        <f>VLOOKUP(Table25751981[[#This Row],[PEG]],Table1016[#All],3,FALSE)</f>
        <v>MENU PROMPT</v>
      </c>
    </row>
    <row r="20" spans="1:5">
      <c r="A20" s="114">
        <v>13</v>
      </c>
      <c r="B20" s="110" t="s">
        <v>124</v>
      </c>
      <c r="C20" s="151" t="s">
        <v>559</v>
      </c>
      <c r="D20" s="113"/>
      <c r="E20" s="122" t="e">
        <f>VLOOKUP(Table25751981[[#This Row],[PEG]],Table1016[#All],3,FALSE)</f>
        <v>#N/A</v>
      </c>
    </row>
    <row r="21" spans="1:5" ht="90">
      <c r="A21" s="114">
        <v>14</v>
      </c>
      <c r="B21" s="110" t="s">
        <v>115</v>
      </c>
      <c r="C21" s="105" t="str">
        <f>VLOOKUP(Table25751981[[#This Row],[PEG]],Table1016[#All],2,FALSE)</f>
        <v>Wyndham requires $299 processing fee and a new recorded deed from the county where you own the property. We recommend that you use a licensed professional to execute the document. In addition to the new recorded deed, please send with the new Trustee’s or company representative, first and last name, address, phone number, email address, date of birth, copy of government issued ID and a copy of your trust documents or corporate documents and current certificate of good standing. Please send the information to 6277 Sea Harbor Drive, Orlando Florida 32821, attention, Worldmark Ownership Change or via email to worldmarkownershipchange@wyn.com.</v>
      </c>
      <c r="D21" s="94" t="s">
        <v>249</v>
      </c>
      <c r="E21" s="122" t="str">
        <f>VLOOKUP(Table25751981[[#This Row],[PEG]],Table1016[#All],3,FALSE)</f>
        <v>PLAY PROMPT</v>
      </c>
    </row>
    <row r="22" spans="1:5" ht="30">
      <c r="A22" s="114">
        <v>15</v>
      </c>
      <c r="B22" s="110" t="s">
        <v>115</v>
      </c>
      <c r="C22" s="105" t="str">
        <f>VLOOKUP(Table25751981[[#This Row],[PEG]],Table1016[#All],2,FALSE)</f>
        <v>0330-1.wav To hear this information again, say repeat that. If you would like me to send you a letter with instructions to start the process, say information letter.</v>
      </c>
      <c r="D22" s="154">
        <v>330</v>
      </c>
      <c r="E22" s="122" t="str">
        <f>VLOOKUP(Table25751981[[#This Row],[PEG]],Table1016[#All],3,FALSE)</f>
        <v>MENU PROMPT</v>
      </c>
    </row>
    <row r="23" spans="1:5">
      <c r="A23" s="114">
        <v>16</v>
      </c>
      <c r="B23" s="110" t="s">
        <v>13</v>
      </c>
      <c r="C23" s="17" t="s">
        <v>13</v>
      </c>
      <c r="D23" s="111"/>
      <c r="E23" s="31"/>
    </row>
    <row r="24" spans="1:5">
      <c r="C24" s="25"/>
    </row>
    <row r="25" spans="1:5">
      <c r="C25" s="25"/>
    </row>
    <row r="26" spans="1:5">
      <c r="C26" s="26"/>
    </row>
    <row r="27" spans="1:5">
      <c r="C27" s="26"/>
    </row>
    <row r="28" spans="1:5">
      <c r="C28" s="26"/>
    </row>
  </sheetData>
  <mergeCells count="1">
    <mergeCell ref="A1:B1"/>
  </mergeCells>
  <conditionalFormatting sqref="C24:C9967">
    <cfRule type="expression" dxfId="3509" priority="63">
      <formula>$B24="Dial"</formula>
    </cfRule>
    <cfRule type="expression" dxfId="3508" priority="64">
      <formula>$B24="HANGUP"</formula>
    </cfRule>
  </conditionalFormatting>
  <conditionalFormatting sqref="B23">
    <cfRule type="containsText" dxfId="3507" priority="19" operator="containsText" text="Hear">
      <formula>NOT(ISERROR(SEARCH("Hear",B23)))</formula>
    </cfRule>
  </conditionalFormatting>
  <conditionalFormatting sqref="E23">
    <cfRule type="containsText" dxfId="3506" priority="27" operator="containsText" text="WEB SERVICE">
      <formula>NOT(ISERROR(SEARCH("WEB SERVICE",E23)))</formula>
    </cfRule>
    <cfRule type="containsText" dxfId="3505" priority="28" operator="containsText" text="DB">
      <formula>NOT(ISERROR(SEARCH("DB",E23)))</formula>
    </cfRule>
  </conditionalFormatting>
  <conditionalFormatting sqref="C23">
    <cfRule type="expression" dxfId="3504" priority="30">
      <formula>$B23="Dial"</formula>
    </cfRule>
    <cfRule type="expression" dxfId="3503" priority="32">
      <formula>$B23="HANGUP"</formula>
    </cfRule>
  </conditionalFormatting>
  <conditionalFormatting sqref="C23">
    <cfRule type="expression" dxfId="3502" priority="31">
      <formula>$B23="Speak"</formula>
    </cfRule>
  </conditionalFormatting>
  <conditionalFormatting sqref="B8">
    <cfRule type="containsText" dxfId="3501" priority="16" operator="containsText" text="Hear">
      <formula>NOT(ISERROR(SEARCH("Hear",B8)))</formula>
    </cfRule>
  </conditionalFormatting>
  <conditionalFormatting sqref="B20:B22">
    <cfRule type="containsText" dxfId="3500" priority="15" operator="containsText" text="Hear">
      <formula>NOT(ISERROR(SEARCH("Hear",B20)))</formula>
    </cfRule>
  </conditionalFormatting>
  <conditionalFormatting sqref="B18:B19">
    <cfRule type="containsText" dxfId="3499" priority="14" operator="containsText" text="Hear">
      <formula>NOT(ISERROR(SEARCH("Hear",B18)))</formula>
    </cfRule>
  </conditionalFormatting>
  <conditionalFormatting sqref="B9:B17">
    <cfRule type="containsText" dxfId="3498" priority="13" operator="containsText" text="Hear">
      <formula>NOT(ISERROR(SEARCH("Hear",B9)))</formula>
    </cfRule>
  </conditionalFormatting>
  <hyperlinks>
    <hyperlink ref="A1" location="'Test Case Overview'!A1" display="Return to Test Case Overview" xr:uid="{00000000-0004-0000-5C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3" id="{C5D7C70F-10B0-4347-9FF9-90933B9BE699}">
            <xm:f>'TC1'!$B8="HANGUP"</xm:f>
            <x14:dxf>
              <font>
                <b/>
                <i val="0"/>
              </font>
            </x14:dxf>
          </x14:cfRule>
          <x14:cfRule type="expression" priority="24" id="{832182A0-DEA0-4311-B054-08719284AAB8}">
            <xm:f>'TC1'!$B8="Dial"</xm:f>
            <x14:dxf>
              <font>
                <b/>
                <i val="0"/>
                <color rgb="FFFF0000"/>
              </font>
            </x14:dxf>
          </x14:cfRule>
          <xm:sqref>C8</xm:sqref>
        </x14:conditionalFormatting>
        <x14:conditionalFormatting xmlns:xm="http://schemas.microsoft.com/office/excel/2006/main">
          <x14:cfRule type="expression" priority="25" id="{D142C9D5-084B-447F-9212-096F30FEC8DC}">
            <xm:f>'TC1'!$B8="Speak"</xm:f>
            <x14:dxf>
              <font>
                <b/>
                <i val="0"/>
                <color rgb="FFFF0000"/>
              </font>
            </x14:dxf>
          </x14:cfRule>
          <xm:sqref>C8</xm:sqref>
        </x14:conditionalFormatting>
        <x14:conditionalFormatting xmlns:xm="http://schemas.microsoft.com/office/excel/2006/main">
          <x14:cfRule type="containsText" priority="22" operator="containsText" text="DB" id="{E780478A-7821-4608-8130-FC1A8C63031B}">
            <xm:f>NOT(ISERROR(SEARCH("DB",'TC1'!E10)))</xm:f>
            <x14:dxf>
              <font>
                <color rgb="FF006100"/>
              </font>
              <fill>
                <patternFill>
                  <bgColor rgb="FFC6EFCE"/>
                </patternFill>
              </fill>
            </x14:dxf>
          </x14:cfRule>
          <x14:cfRule type="containsText" priority="26" operator="containsText" text="WEB SERVICE" id="{FF10C294-1EC0-473F-83D9-9F559526D18C}">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2123" id="{C5D7C70F-10B0-4347-9FF9-90933B9BE699}">
            <xm:f>'TC1'!#REF!="HANGUP"</xm:f>
            <x14:dxf>
              <font>
                <b/>
                <i val="0"/>
              </font>
            </x14:dxf>
          </x14:cfRule>
          <x14:cfRule type="expression" priority="2124" id="{832182A0-DEA0-4311-B054-08719284AAB8}">
            <xm:f>'TC1'!#REF!="Dial"</xm:f>
            <x14:dxf>
              <font>
                <b/>
                <i val="0"/>
                <color rgb="FFFF0000"/>
              </font>
            </x14:dxf>
          </x14:cfRule>
          <xm:sqref>C13 C15 C17 C19:C22</xm:sqref>
        </x14:conditionalFormatting>
        <x14:conditionalFormatting xmlns:xm="http://schemas.microsoft.com/office/excel/2006/main">
          <x14:cfRule type="expression" priority="2129" id="{D142C9D5-084B-447F-9212-096F30FEC8DC}">
            <xm:f>'TC1'!#REF!="Speak"</xm:f>
            <x14:dxf>
              <font>
                <b/>
                <i val="0"/>
                <color rgb="FFFF0000"/>
              </font>
            </x14:dxf>
          </x14:cfRule>
          <xm:sqref>C13 C15 C17 C19:C22</xm:sqref>
        </x14:conditionalFormatting>
        <x14:conditionalFormatting xmlns:xm="http://schemas.microsoft.com/office/excel/2006/main">
          <x14:cfRule type="containsText" priority="2135" operator="containsText" text="DB" id="{E780478A-7821-4608-8130-FC1A8C63031B}">
            <xm:f>NOT(ISERROR(SEARCH("DB",'TC1'!#REF!)))</xm:f>
            <x14:dxf>
              <font>
                <color rgb="FF006100"/>
              </font>
              <fill>
                <patternFill>
                  <bgColor rgb="FFC6EFCE"/>
                </patternFill>
              </fill>
            </x14:dxf>
          </x14:cfRule>
          <x14:cfRule type="containsText" priority="2136" operator="containsText" text="WEB SERVICE" id="{FF10C294-1EC0-473F-83D9-9F559526D18C}">
            <xm:f>NOT(ISERROR(SEARCH("WEB SERVICE",'TC1'!#REF!)))</xm:f>
            <x14:dxf>
              <font>
                <color rgb="FF9C0006"/>
              </font>
              <fill>
                <patternFill>
                  <bgColor rgb="FFFFC7CE"/>
                </patternFill>
              </fill>
            </x14:dxf>
          </x14:cfRule>
          <xm:sqref>E13:E22</xm:sqref>
        </x14:conditionalFormatting>
        <x14:conditionalFormatting xmlns:xm="http://schemas.microsoft.com/office/excel/2006/main">
          <x14:cfRule type="expression" priority="4109" id="{C5D7C70F-10B0-4347-9FF9-90933B9BE699}">
            <xm:f>'TC1'!$B10="HANGUP"</xm:f>
            <x14:dxf>
              <font>
                <b/>
                <i val="0"/>
              </font>
            </x14:dxf>
          </x14:cfRule>
          <x14:cfRule type="expression" priority="4110" id="{832182A0-DEA0-4311-B054-08719284AAB8}">
            <xm:f>'TC1'!$B10="Dial"</xm:f>
            <x14:dxf>
              <font>
                <b/>
                <i val="0"/>
                <color rgb="FFFF0000"/>
              </font>
            </x14:dxf>
          </x14:cfRule>
          <xm:sqref>C9:C11</xm:sqref>
        </x14:conditionalFormatting>
        <x14:conditionalFormatting xmlns:xm="http://schemas.microsoft.com/office/excel/2006/main">
          <x14:cfRule type="expression" priority="4112" id="{D142C9D5-084B-447F-9212-096F30FEC8DC}">
            <xm:f>'TC1'!$B10="Speak"</xm:f>
            <x14:dxf>
              <font>
                <b/>
                <i val="0"/>
                <color rgb="FFFF0000"/>
              </font>
            </x14:dxf>
          </x14:cfRule>
          <xm:sqref>C9:C11</xm:sqref>
        </x14:conditionalFormatting>
        <x14:conditionalFormatting xmlns:xm="http://schemas.microsoft.com/office/excel/2006/main">
          <x14:cfRule type="expression" priority="10" id="{A574194F-50D6-451B-B0DB-483AF0CF6DBC}">
            <xm:f>'TC1'!#REF!="HANGUP"</xm:f>
            <x14:dxf>
              <font>
                <b/>
                <i val="0"/>
              </font>
            </x14:dxf>
          </x14:cfRule>
          <x14:cfRule type="expression" priority="11" id="{E33D5C39-FBEE-4BB1-87DE-A25A0B473ED2}">
            <xm:f>'TC1'!#REF!="Dial"</xm:f>
            <x14:dxf>
              <font>
                <b/>
                <i val="0"/>
                <color rgb="FFFF0000"/>
              </font>
            </x14:dxf>
          </x14:cfRule>
          <xm:sqref>C12</xm:sqref>
        </x14:conditionalFormatting>
        <x14:conditionalFormatting xmlns:xm="http://schemas.microsoft.com/office/excel/2006/main">
          <x14:cfRule type="expression" priority="12" id="{F85E8C83-DECB-4A9C-9915-2C23D3133E14}">
            <xm:f>'TC1'!#REF!="Speak"</xm:f>
            <x14:dxf>
              <font>
                <b/>
                <i val="0"/>
                <color rgb="FFFF0000"/>
              </font>
            </x14:dxf>
          </x14:cfRule>
          <xm:sqref>C12</xm:sqref>
        </x14:conditionalFormatting>
        <x14:conditionalFormatting xmlns:xm="http://schemas.microsoft.com/office/excel/2006/main">
          <x14:cfRule type="expression" priority="7" id="{FE33FA00-E1CD-4D5E-9B3E-2A0D8CD2C65C}">
            <xm:f>'TC1'!#REF!="HANGUP"</xm:f>
            <x14:dxf>
              <font>
                <b/>
                <i val="0"/>
              </font>
            </x14:dxf>
          </x14:cfRule>
          <x14:cfRule type="expression" priority="8" id="{84EA598F-CCA4-4AED-B185-D19ED98756C4}">
            <xm:f>'TC1'!#REF!="Dial"</xm:f>
            <x14:dxf>
              <font>
                <b/>
                <i val="0"/>
                <color rgb="FFFF0000"/>
              </font>
            </x14:dxf>
          </x14:cfRule>
          <xm:sqref>C14</xm:sqref>
        </x14:conditionalFormatting>
        <x14:conditionalFormatting xmlns:xm="http://schemas.microsoft.com/office/excel/2006/main">
          <x14:cfRule type="expression" priority="9" id="{C7B9B2F0-542F-4ABF-A914-822133740A9D}">
            <xm:f>'TC1'!#REF!="Speak"</xm:f>
            <x14:dxf>
              <font>
                <b/>
                <i val="0"/>
                <color rgb="FFFF0000"/>
              </font>
            </x14:dxf>
          </x14:cfRule>
          <xm:sqref>C14</xm:sqref>
        </x14:conditionalFormatting>
        <x14:conditionalFormatting xmlns:xm="http://schemas.microsoft.com/office/excel/2006/main">
          <x14:cfRule type="expression" priority="4" id="{4E2D83B4-2153-443E-86E3-73BC5AB27912}">
            <xm:f>'TC1'!#REF!="HANGUP"</xm:f>
            <x14:dxf>
              <font>
                <b/>
                <i val="0"/>
              </font>
            </x14:dxf>
          </x14:cfRule>
          <x14:cfRule type="expression" priority="5" id="{BE1129F7-5E37-49C6-A0D4-89F1C398D3C4}">
            <xm:f>'TC1'!#REF!="Dial"</xm:f>
            <x14:dxf>
              <font>
                <b/>
                <i val="0"/>
                <color rgb="FFFF0000"/>
              </font>
            </x14:dxf>
          </x14:cfRule>
          <xm:sqref>C16</xm:sqref>
        </x14:conditionalFormatting>
        <x14:conditionalFormatting xmlns:xm="http://schemas.microsoft.com/office/excel/2006/main">
          <x14:cfRule type="expression" priority="6" id="{B2805BC4-57BC-4839-82C4-5352BAA97F88}">
            <xm:f>'TC1'!#REF!="Speak"</xm:f>
            <x14:dxf>
              <font>
                <b/>
                <i val="0"/>
                <color rgb="FFFF0000"/>
              </font>
            </x14:dxf>
          </x14:cfRule>
          <xm:sqref>C16</xm:sqref>
        </x14:conditionalFormatting>
        <x14:conditionalFormatting xmlns:xm="http://schemas.microsoft.com/office/excel/2006/main">
          <x14:cfRule type="expression" priority="1" id="{8504EBE2-50D7-4D70-9549-548B10D651C8}">
            <xm:f>'TC1'!#REF!="HANGUP"</xm:f>
            <x14:dxf>
              <font>
                <b/>
                <i val="0"/>
              </font>
            </x14:dxf>
          </x14:cfRule>
          <x14:cfRule type="expression" priority="2" id="{1D15E3D8-1B8D-451A-831D-815252A1FF26}">
            <xm:f>'TC1'!#REF!="Dial"</xm:f>
            <x14:dxf>
              <font>
                <b/>
                <i val="0"/>
                <color rgb="FFFF0000"/>
              </font>
            </x14:dxf>
          </x14:cfRule>
          <xm:sqref>C18</xm:sqref>
        </x14:conditionalFormatting>
        <x14:conditionalFormatting xmlns:xm="http://schemas.microsoft.com/office/excel/2006/main">
          <x14:cfRule type="expression" priority="3" id="{6376F03F-CCC6-4E67-8E00-5C85F8D8FF72}">
            <xm:f>'TC1'!#REF!="Speak"</xm:f>
            <x14:dxf>
              <font>
                <b/>
                <i val="0"/>
                <color rgb="FFFF0000"/>
              </font>
            </x14:dxf>
          </x14:cfRule>
          <xm:sqref>C18</xm:sqref>
        </x14:conditionalFormatting>
      </x14:conditionalFormattings>
    </ext>
  </extLst>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5"/>
  <dimension ref="A1:E37"/>
  <sheetViews>
    <sheetView zoomScaleNormal="100" workbookViewId="0">
      <selection sqref="A1:B1"/>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TC93</v>
      </c>
    </row>
    <row r="3" spans="1:5">
      <c r="A3" s="100" t="s">
        <v>19</v>
      </c>
      <c r="B3" s="108">
        <f ca="1">VLOOKUP(B2,Table53[#All],2,FALSE)</f>
        <v>0</v>
      </c>
    </row>
    <row r="4" spans="1:5" ht="45">
      <c r="A4" s="109" t="s">
        <v>20</v>
      </c>
      <c r="B4" s="95" t="str">
        <f ca="1">VLOOKUP(B2,Table53[#All],4,FALSE)</f>
        <v>svcArea=titleSvcs, serviceType=chgOwnership, Not in progress or complete &lt;90days. 325-V-DF-T</v>
      </c>
      <c r="C4" s="94" t="s">
        <v>250</v>
      </c>
    </row>
    <row r="5" spans="1:5" ht="45">
      <c r="A5" s="100" t="s">
        <v>6</v>
      </c>
      <c r="B5" s="75" t="str">
        <f ca="1">VLOOKUP(B2,Table53[#All],3,FALSE)</f>
        <v xml:space="preserve">CallStart Main Menu /Title /Ownership changes/ID Auth=True/ownership trust at ChangeMenu/HU after hearing peg 0330 </v>
      </c>
    </row>
    <row r="7" spans="1:5" ht="15.75">
      <c r="A7" s="96" t="s">
        <v>7</v>
      </c>
      <c r="B7" s="97" t="s">
        <v>8</v>
      </c>
      <c r="C7" s="98" t="s">
        <v>9</v>
      </c>
      <c r="D7" s="98" t="s">
        <v>14</v>
      </c>
      <c r="E7" s="99" t="s">
        <v>10</v>
      </c>
    </row>
    <row r="8" spans="1:5">
      <c r="A8" s="114">
        <v>1</v>
      </c>
      <c r="B8" s="110" t="s">
        <v>114</v>
      </c>
      <c r="C8" s="105" t="s">
        <v>125</v>
      </c>
      <c r="D8" s="125"/>
      <c r="E8" s="122" t="s">
        <v>11</v>
      </c>
    </row>
    <row r="9" spans="1:5" s="93" customFormat="1">
      <c r="A9" s="114">
        <v>2</v>
      </c>
      <c r="B9" s="110" t="s">
        <v>115</v>
      </c>
      <c r="C9" s="105" t="str">
        <f>VLOOKUP(Table25751982[[#This Row],[PEG]],Table1016[#All],2,FALSE)</f>
        <v>CallID.wav Call ID &lt;CallID&gt;</v>
      </c>
      <c r="D9" s="152" t="s">
        <v>477</v>
      </c>
      <c r="E9" s="122" t="str">
        <f>VLOOKUP(Table25751982[[#This Row],[PEG]],Table1016[#All],3,FALSE)</f>
        <v>TEST</v>
      </c>
    </row>
    <row r="10" spans="1:5" s="93" customFormat="1" ht="30">
      <c r="A10" s="114">
        <v>3</v>
      </c>
      <c r="B10" s="110" t="s">
        <v>115</v>
      </c>
      <c r="C10" s="105" t="str">
        <f>VLOOKUP(Table25751982[[#This Row],[PEG]],Table1016[#All],2,FALSE)</f>
        <v>0100.wav Thank you for calling Shell vacations Club, we are glad you called. Please have your account number available for faster service. [To continue in Spanish, press 9]</v>
      </c>
      <c r="D10" s="152">
        <v>100</v>
      </c>
      <c r="E10" s="122" t="str">
        <f>VLOOKUP(Table25751982[[#This Row],[PEG]],Table1016[#All],3,FALSE)</f>
        <v>PLAY PROMPT</v>
      </c>
    </row>
    <row r="11" spans="1:5" s="93" customFormat="1" ht="30">
      <c r="A11" s="114">
        <v>4</v>
      </c>
      <c r="B11" s="110" t="s">
        <v>115</v>
      </c>
      <c r="C11" s="105" t="str">
        <f>VLOOKUP(Table25751982[[#This Row],[PEG]],Table1016[#All],2,FALSE)</f>
        <v>0110-1.wav Which would you like? You can say... reservations, payments &amp; statements, title &amp; ownership changes, or more options.</v>
      </c>
      <c r="D11" s="152">
        <v>110</v>
      </c>
      <c r="E11" s="122" t="str">
        <f>VLOOKUP(Table25751982[[#This Row],[PEG]],Table1016[#All],3,FALSE)</f>
        <v>MENU PROMPT</v>
      </c>
    </row>
    <row r="12" spans="1:5" s="93" customFormat="1">
      <c r="A12" s="114">
        <v>5</v>
      </c>
      <c r="B12" s="110" t="s">
        <v>124</v>
      </c>
      <c r="C12" s="151" t="s">
        <v>486</v>
      </c>
      <c r="D12" s="152"/>
      <c r="E12" s="122" t="e">
        <f>VLOOKUP(Table25751982[[#This Row],[PEG]],Table1016[#All],3,FALSE)</f>
        <v>#N/A</v>
      </c>
    </row>
    <row r="13" spans="1:5" s="93" customFormat="1" ht="30">
      <c r="A13" s="114">
        <v>6</v>
      </c>
      <c r="B13" s="110" t="s">
        <v>115</v>
      </c>
      <c r="C13" s="105" t="str">
        <f>VLOOKUP(Table25751982[[#This Row],[PEG]],Table1016[#All],2,FALSE)</f>
        <v>0300-1.wav You can say ownership changes, check status, make a payment, or help me with something else. Which would you like?</v>
      </c>
      <c r="D13" s="152">
        <v>300</v>
      </c>
      <c r="E13" s="122" t="str">
        <f>VLOOKUP(Table25751982[[#This Row],[PEG]],Table1016[#All],3,FALSE)</f>
        <v>MENU PROMPT</v>
      </c>
    </row>
    <row r="14" spans="1:5" s="93" customFormat="1">
      <c r="A14" s="114">
        <v>7</v>
      </c>
      <c r="B14" s="110" t="s">
        <v>124</v>
      </c>
      <c r="C14" s="151" t="s">
        <v>527</v>
      </c>
      <c r="D14" s="125"/>
      <c r="E14" s="122" t="e">
        <f>VLOOKUP(Table25751982[[#This Row],[PEG]],Table1016[#All],3,FALSE)</f>
        <v>#N/A</v>
      </c>
    </row>
    <row r="15" spans="1:5">
      <c r="A15" s="114">
        <v>8</v>
      </c>
      <c r="B15" s="110" t="s">
        <v>115</v>
      </c>
      <c r="C15" s="105" t="str">
        <f>VLOOKUP(Table25751982[[#This Row],[PEG]],Table1016[#All],2,FALSE)</f>
        <v>0200-1.wav To get started, what is your account number?</v>
      </c>
      <c r="D15" s="153">
        <v>200</v>
      </c>
      <c r="E15" s="122" t="str">
        <f>VLOOKUP(Table25751982[[#This Row],[PEG]],Table1016[#All],3,FALSE)</f>
        <v>MENU PROMPT</v>
      </c>
    </row>
    <row r="16" spans="1:5">
      <c r="A16" s="114">
        <v>9</v>
      </c>
      <c r="B16" s="110" t="s">
        <v>114</v>
      </c>
      <c r="C16" s="151" t="s">
        <v>515</v>
      </c>
      <c r="D16" s="112"/>
      <c r="E16" s="122" t="e">
        <f>VLOOKUP(Table25751982[[#This Row],[PEG]],Table1016[#All],3,FALSE)</f>
        <v>#N/A</v>
      </c>
    </row>
    <row r="17" spans="1:5">
      <c r="A17" s="114">
        <v>10</v>
      </c>
      <c r="B17" s="110" t="s">
        <v>115</v>
      </c>
      <c r="C17" s="105" t="str">
        <f>VLOOKUP(Table25751982[[#This Row],[PEG]],Table1016[#All],2,FALSE)</f>
        <v>0210-1.wav And the date of birth for the primary owner?</v>
      </c>
      <c r="D17" s="154">
        <v>210</v>
      </c>
      <c r="E17" s="122" t="str">
        <f>VLOOKUP(Table25751982[[#This Row],[PEG]],Table1016[#All],3,FALSE)</f>
        <v>MENU PROMPT</v>
      </c>
    </row>
    <row r="18" spans="1:5">
      <c r="A18" s="114">
        <v>11</v>
      </c>
      <c r="B18" s="110" t="s">
        <v>124</v>
      </c>
      <c r="C18" s="151" t="s">
        <v>524</v>
      </c>
      <c r="D18" s="113"/>
      <c r="E18" s="122" t="e">
        <f>VLOOKUP(Table25751982[[#This Row],[PEG]],Table1016[#All],3,FALSE)</f>
        <v>#N/A</v>
      </c>
    </row>
    <row r="19" spans="1:5" ht="45">
      <c r="A19" s="114">
        <v>12</v>
      </c>
      <c r="B19" s="110" t="s">
        <v>115</v>
      </c>
      <c r="C19" s="105" t="str">
        <f>VLOOKUP(Table25751982[[#This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54">
        <v>320</v>
      </c>
      <c r="E19" s="122" t="str">
        <f>VLOOKUP(Table25751982[[#This Row],[PEG]],Table1016[#All],3,FALSE)</f>
        <v>MENU PROMPT</v>
      </c>
    </row>
    <row r="20" spans="1:5">
      <c r="A20" s="114">
        <v>13</v>
      </c>
      <c r="B20" s="110" t="s">
        <v>124</v>
      </c>
      <c r="C20" s="151" t="s">
        <v>542</v>
      </c>
      <c r="D20" s="113"/>
      <c r="E20" s="122" t="e">
        <f>VLOOKUP(Table25751982[[#This Row],[PEG]],Table1016[#All],3,FALSE)</f>
        <v>#N/A</v>
      </c>
    </row>
    <row r="21" spans="1:5" ht="90">
      <c r="A21" s="114">
        <v>14</v>
      </c>
      <c r="B21" s="110" t="s">
        <v>115</v>
      </c>
      <c r="C21" s="105" t="str">
        <f>VLOOKUP(Table25751982[[#This Row],[PEG]],Table1016[#All],2,FALSE)</f>
        <v>Wyndham requires a new recorded deed from the county where you own the property. We recommend that you use a licensed professional to execute the document. In addition to the new recorded deed, please send with the new Trustee’s or company representative, first and last name, address, phone number, email address, date of birth, copy of government issued ID and a copy of your trust documents or corporate documents and current certificate of good standing. Please send the information to 6277 Sea Harbor Drive, Orlando Florida 32821, attention, Worldmark Ownership Change or via email to worldmarkownershipchange@wyn.com.</v>
      </c>
      <c r="D21" s="94" t="s">
        <v>250</v>
      </c>
      <c r="E21" s="122" t="str">
        <f>VLOOKUP(Table25751982[[#This Row],[PEG]],Table1016[#All],3,FALSE)</f>
        <v>PLAY PROMPT</v>
      </c>
    </row>
    <row r="22" spans="1:5" ht="30">
      <c r="A22" s="114">
        <v>15</v>
      </c>
      <c r="B22" s="110" t="s">
        <v>115</v>
      </c>
      <c r="C22" s="105" t="str">
        <f>VLOOKUP(Table25751982[[#This Row],[PEG]],Table1016[#All],2,FALSE)</f>
        <v>0330-1.wav To hear this information again, say repeat that. If you would like me to send you a letter with instructions to start the process, say information letter.</v>
      </c>
      <c r="D22" s="154">
        <v>330</v>
      </c>
      <c r="E22" s="122" t="str">
        <f>VLOOKUP(Table25751982[[#This Row],[PEG]],Table1016[#All],3,FALSE)</f>
        <v>MENU PROMPT</v>
      </c>
    </row>
    <row r="23" spans="1:5">
      <c r="A23" s="114">
        <v>16</v>
      </c>
      <c r="B23" s="110" t="s">
        <v>13</v>
      </c>
      <c r="C23" s="17" t="s">
        <v>13</v>
      </c>
      <c r="D23" s="111"/>
      <c r="E23" s="31"/>
    </row>
    <row r="24" spans="1:5">
      <c r="C24" s="25"/>
    </row>
    <row r="25" spans="1:5" s="93" customFormat="1">
      <c r="C25" s="25"/>
      <c r="D25" s="107"/>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6"/>
    </row>
    <row r="36" spans="3:3">
      <c r="C36" s="26"/>
    </row>
    <row r="37" spans="3:3">
      <c r="C37" s="26"/>
    </row>
  </sheetData>
  <mergeCells count="1">
    <mergeCell ref="A1:B1"/>
  </mergeCells>
  <conditionalFormatting sqref="C24:C9976">
    <cfRule type="expression" dxfId="3463" priority="63">
      <formula>$B24="Dial"</formula>
    </cfRule>
    <cfRule type="expression" dxfId="3462" priority="65">
      <formula>$B24="HANGUP"</formula>
    </cfRule>
  </conditionalFormatting>
  <conditionalFormatting sqref="B23">
    <cfRule type="containsText" dxfId="3461" priority="19" operator="containsText" text="Hear">
      <formula>NOT(ISERROR(SEARCH("Hear",B23)))</formula>
    </cfRule>
  </conditionalFormatting>
  <conditionalFormatting sqref="E23">
    <cfRule type="containsText" dxfId="3460" priority="27" operator="containsText" text="WEB SERVICE">
      <formula>NOT(ISERROR(SEARCH("WEB SERVICE",E23)))</formula>
    </cfRule>
    <cfRule type="containsText" dxfId="3459" priority="28" operator="containsText" text="DB">
      <formula>NOT(ISERROR(SEARCH("DB",E23)))</formula>
    </cfRule>
  </conditionalFormatting>
  <conditionalFormatting sqref="C23">
    <cfRule type="expression" dxfId="3458" priority="30">
      <formula>$B23="Dial"</formula>
    </cfRule>
    <cfRule type="expression" dxfId="3457" priority="32">
      <formula>$B23="HANGUP"</formula>
    </cfRule>
  </conditionalFormatting>
  <conditionalFormatting sqref="C23">
    <cfRule type="expression" dxfId="3456" priority="31">
      <formula>$B23="Speak"</formula>
    </cfRule>
  </conditionalFormatting>
  <conditionalFormatting sqref="B8">
    <cfRule type="containsText" dxfId="3455" priority="16" operator="containsText" text="Hear">
      <formula>NOT(ISERROR(SEARCH("Hear",B8)))</formula>
    </cfRule>
  </conditionalFormatting>
  <conditionalFormatting sqref="B20:B22">
    <cfRule type="containsText" dxfId="3454" priority="15" operator="containsText" text="Hear">
      <formula>NOT(ISERROR(SEARCH("Hear",B20)))</formula>
    </cfRule>
  </conditionalFormatting>
  <conditionalFormatting sqref="B18:B19">
    <cfRule type="containsText" dxfId="3453" priority="14" operator="containsText" text="Hear">
      <formula>NOT(ISERROR(SEARCH("Hear",B18)))</formula>
    </cfRule>
  </conditionalFormatting>
  <conditionalFormatting sqref="B9:B17">
    <cfRule type="containsText" dxfId="3452" priority="13" operator="containsText" text="Hear">
      <formula>NOT(ISERROR(SEARCH("Hear",B9)))</formula>
    </cfRule>
  </conditionalFormatting>
  <hyperlinks>
    <hyperlink ref="A1" location="'Test Case Overview'!A1" display="Return to Test Case Overview" xr:uid="{00000000-0004-0000-5D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3" id="{17F3C1AD-EC91-49D3-9AF2-AE2DA0E8F5AD}">
            <xm:f>'TC1'!$B8="HANGUP"</xm:f>
            <x14:dxf>
              <font>
                <b/>
                <i val="0"/>
              </font>
            </x14:dxf>
          </x14:cfRule>
          <x14:cfRule type="expression" priority="24" id="{9A140BEA-DE98-4578-8B76-3BC72460A43D}">
            <xm:f>'TC1'!$B8="Dial"</xm:f>
            <x14:dxf>
              <font>
                <b/>
                <i val="0"/>
                <color rgb="FFFF0000"/>
              </font>
            </x14:dxf>
          </x14:cfRule>
          <xm:sqref>C8</xm:sqref>
        </x14:conditionalFormatting>
        <x14:conditionalFormatting xmlns:xm="http://schemas.microsoft.com/office/excel/2006/main">
          <x14:cfRule type="expression" priority="25" id="{8A1CF00A-A594-4551-A98B-495EAE1C9FA5}">
            <xm:f>'TC1'!$B8="Speak"</xm:f>
            <x14:dxf>
              <font>
                <b/>
                <i val="0"/>
                <color rgb="FFFF0000"/>
              </font>
            </x14:dxf>
          </x14:cfRule>
          <xm:sqref>C8</xm:sqref>
        </x14:conditionalFormatting>
        <x14:conditionalFormatting xmlns:xm="http://schemas.microsoft.com/office/excel/2006/main">
          <x14:cfRule type="containsText" priority="22" operator="containsText" text="DB" id="{827BCB6A-0888-4C3F-B268-43D6E8E96756}">
            <xm:f>NOT(ISERROR(SEARCH("DB",'TC1'!E10)))</xm:f>
            <x14:dxf>
              <font>
                <color rgb="FF006100"/>
              </font>
              <fill>
                <patternFill>
                  <bgColor rgb="FFC6EFCE"/>
                </patternFill>
              </fill>
            </x14:dxf>
          </x14:cfRule>
          <x14:cfRule type="containsText" priority="26" operator="containsText" text="WEB SERVICE" id="{9A503CE2-304A-4A9D-A7C3-F60CBD5DD18C}">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2143" id="{17F3C1AD-EC91-49D3-9AF2-AE2DA0E8F5AD}">
            <xm:f>'TC1'!#REF!="HANGUP"</xm:f>
            <x14:dxf>
              <font>
                <b/>
                <i val="0"/>
              </font>
            </x14:dxf>
          </x14:cfRule>
          <x14:cfRule type="expression" priority="2144" id="{9A140BEA-DE98-4578-8B76-3BC72460A43D}">
            <xm:f>'TC1'!#REF!="Dial"</xm:f>
            <x14:dxf>
              <font>
                <b/>
                <i val="0"/>
                <color rgb="FFFF0000"/>
              </font>
            </x14:dxf>
          </x14:cfRule>
          <xm:sqref>C13 C15 C17 C19:C22</xm:sqref>
        </x14:conditionalFormatting>
        <x14:conditionalFormatting xmlns:xm="http://schemas.microsoft.com/office/excel/2006/main">
          <x14:cfRule type="expression" priority="2149" id="{8A1CF00A-A594-4551-A98B-495EAE1C9FA5}">
            <xm:f>'TC1'!#REF!="Speak"</xm:f>
            <x14:dxf>
              <font>
                <b/>
                <i val="0"/>
                <color rgb="FFFF0000"/>
              </font>
            </x14:dxf>
          </x14:cfRule>
          <xm:sqref>C13 C15 C17 C19:C22</xm:sqref>
        </x14:conditionalFormatting>
        <x14:conditionalFormatting xmlns:xm="http://schemas.microsoft.com/office/excel/2006/main">
          <x14:cfRule type="containsText" priority="2155" operator="containsText" text="DB" id="{827BCB6A-0888-4C3F-B268-43D6E8E96756}">
            <xm:f>NOT(ISERROR(SEARCH("DB",'TC1'!#REF!)))</xm:f>
            <x14:dxf>
              <font>
                <color rgb="FF006100"/>
              </font>
              <fill>
                <patternFill>
                  <bgColor rgb="FFC6EFCE"/>
                </patternFill>
              </fill>
            </x14:dxf>
          </x14:cfRule>
          <x14:cfRule type="containsText" priority="2156" operator="containsText" text="WEB SERVICE" id="{9A503CE2-304A-4A9D-A7C3-F60CBD5DD18C}">
            <xm:f>NOT(ISERROR(SEARCH("WEB SERVICE",'TC1'!#REF!)))</xm:f>
            <x14:dxf>
              <font>
                <color rgb="FF9C0006"/>
              </font>
              <fill>
                <patternFill>
                  <bgColor rgb="FFFFC7CE"/>
                </patternFill>
              </fill>
            </x14:dxf>
          </x14:cfRule>
          <xm:sqref>E13:E22</xm:sqref>
        </x14:conditionalFormatting>
        <x14:conditionalFormatting xmlns:xm="http://schemas.microsoft.com/office/excel/2006/main">
          <x14:cfRule type="expression" priority="4117" id="{17F3C1AD-EC91-49D3-9AF2-AE2DA0E8F5AD}">
            <xm:f>'TC1'!$B10="HANGUP"</xm:f>
            <x14:dxf>
              <font>
                <b/>
                <i val="0"/>
              </font>
            </x14:dxf>
          </x14:cfRule>
          <x14:cfRule type="expression" priority="4118" id="{9A140BEA-DE98-4578-8B76-3BC72460A43D}">
            <xm:f>'TC1'!$B10="Dial"</xm:f>
            <x14:dxf>
              <font>
                <b/>
                <i val="0"/>
                <color rgb="FFFF0000"/>
              </font>
            </x14:dxf>
          </x14:cfRule>
          <xm:sqref>C9:C11</xm:sqref>
        </x14:conditionalFormatting>
        <x14:conditionalFormatting xmlns:xm="http://schemas.microsoft.com/office/excel/2006/main">
          <x14:cfRule type="expression" priority="4120" id="{8A1CF00A-A594-4551-A98B-495EAE1C9FA5}">
            <xm:f>'TC1'!$B10="Speak"</xm:f>
            <x14:dxf>
              <font>
                <b/>
                <i val="0"/>
                <color rgb="FFFF0000"/>
              </font>
            </x14:dxf>
          </x14:cfRule>
          <xm:sqref>C9:C11</xm:sqref>
        </x14:conditionalFormatting>
        <x14:conditionalFormatting xmlns:xm="http://schemas.microsoft.com/office/excel/2006/main">
          <x14:cfRule type="expression" priority="10" id="{9973AE2A-182A-4C55-B6F0-FCF516349F49}">
            <xm:f>'TC1'!#REF!="HANGUP"</xm:f>
            <x14:dxf>
              <font>
                <b/>
                <i val="0"/>
              </font>
            </x14:dxf>
          </x14:cfRule>
          <x14:cfRule type="expression" priority="11" id="{168EFDC9-8E31-4A09-B381-50E3D6CF83AE}">
            <xm:f>'TC1'!#REF!="Dial"</xm:f>
            <x14:dxf>
              <font>
                <b/>
                <i val="0"/>
                <color rgb="FFFF0000"/>
              </font>
            </x14:dxf>
          </x14:cfRule>
          <xm:sqref>C12</xm:sqref>
        </x14:conditionalFormatting>
        <x14:conditionalFormatting xmlns:xm="http://schemas.microsoft.com/office/excel/2006/main">
          <x14:cfRule type="expression" priority="12" id="{042906C8-33E7-4BEF-961A-6E561453975F}">
            <xm:f>'TC1'!#REF!="Speak"</xm:f>
            <x14:dxf>
              <font>
                <b/>
                <i val="0"/>
                <color rgb="FFFF0000"/>
              </font>
            </x14:dxf>
          </x14:cfRule>
          <xm:sqref>C12</xm:sqref>
        </x14:conditionalFormatting>
        <x14:conditionalFormatting xmlns:xm="http://schemas.microsoft.com/office/excel/2006/main">
          <x14:cfRule type="expression" priority="7" id="{CDEE4D47-0728-4C50-A5D5-7814FA811E31}">
            <xm:f>'TC1'!#REF!="HANGUP"</xm:f>
            <x14:dxf>
              <font>
                <b/>
                <i val="0"/>
              </font>
            </x14:dxf>
          </x14:cfRule>
          <x14:cfRule type="expression" priority="8" id="{0AB24BCE-6DFF-4814-BEE8-95DEB80430DD}">
            <xm:f>'TC1'!#REF!="Dial"</xm:f>
            <x14:dxf>
              <font>
                <b/>
                <i val="0"/>
                <color rgb="FFFF0000"/>
              </font>
            </x14:dxf>
          </x14:cfRule>
          <xm:sqref>C14</xm:sqref>
        </x14:conditionalFormatting>
        <x14:conditionalFormatting xmlns:xm="http://schemas.microsoft.com/office/excel/2006/main">
          <x14:cfRule type="expression" priority="9" id="{DBD3F728-987A-4183-A7B6-9E93DC83DA1B}">
            <xm:f>'TC1'!#REF!="Speak"</xm:f>
            <x14:dxf>
              <font>
                <b/>
                <i val="0"/>
                <color rgb="FFFF0000"/>
              </font>
            </x14:dxf>
          </x14:cfRule>
          <xm:sqref>C14</xm:sqref>
        </x14:conditionalFormatting>
        <x14:conditionalFormatting xmlns:xm="http://schemas.microsoft.com/office/excel/2006/main">
          <x14:cfRule type="expression" priority="4" id="{E9C5913D-5AD7-43A1-8C58-019B3DF829ED}">
            <xm:f>'TC1'!#REF!="HANGUP"</xm:f>
            <x14:dxf>
              <font>
                <b/>
                <i val="0"/>
              </font>
            </x14:dxf>
          </x14:cfRule>
          <x14:cfRule type="expression" priority="5" id="{6B3B38E2-4F5B-4127-8049-426043A8F633}">
            <xm:f>'TC1'!#REF!="Dial"</xm:f>
            <x14:dxf>
              <font>
                <b/>
                <i val="0"/>
                <color rgb="FFFF0000"/>
              </font>
            </x14:dxf>
          </x14:cfRule>
          <xm:sqref>C16</xm:sqref>
        </x14:conditionalFormatting>
        <x14:conditionalFormatting xmlns:xm="http://schemas.microsoft.com/office/excel/2006/main">
          <x14:cfRule type="expression" priority="6" id="{4B89949C-90EF-4B19-938E-DE2ECE4ED3AD}">
            <xm:f>'TC1'!#REF!="Speak"</xm:f>
            <x14:dxf>
              <font>
                <b/>
                <i val="0"/>
                <color rgb="FFFF0000"/>
              </font>
            </x14:dxf>
          </x14:cfRule>
          <xm:sqref>C16</xm:sqref>
        </x14:conditionalFormatting>
        <x14:conditionalFormatting xmlns:xm="http://schemas.microsoft.com/office/excel/2006/main">
          <x14:cfRule type="expression" priority="1" id="{3A7B0FFF-EE28-4C95-BE89-0300DD8121DD}">
            <xm:f>'TC1'!#REF!="HANGUP"</xm:f>
            <x14:dxf>
              <font>
                <b/>
                <i val="0"/>
              </font>
            </x14:dxf>
          </x14:cfRule>
          <x14:cfRule type="expression" priority="2" id="{716A6DA6-F592-4D5F-8832-A14D7BB44D21}">
            <xm:f>'TC1'!#REF!="Dial"</xm:f>
            <x14:dxf>
              <font>
                <b/>
                <i val="0"/>
                <color rgb="FFFF0000"/>
              </font>
            </x14:dxf>
          </x14:cfRule>
          <xm:sqref>C18</xm:sqref>
        </x14:conditionalFormatting>
        <x14:conditionalFormatting xmlns:xm="http://schemas.microsoft.com/office/excel/2006/main">
          <x14:cfRule type="expression" priority="3" id="{F0E5E590-B6C1-4C74-906E-0271675A4E56}">
            <xm:f>'TC1'!#REF!="Speak"</xm:f>
            <x14:dxf>
              <font>
                <b/>
                <i val="0"/>
                <color rgb="FFFF0000"/>
              </font>
            </x14:dxf>
          </x14:cfRule>
          <xm:sqref>C18</xm:sqref>
        </x14:conditionalFormatting>
      </x14:conditionalFormattings>
    </ext>
  </extLst>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6"/>
  <dimension ref="A1:E26"/>
  <sheetViews>
    <sheetView zoomScaleNormal="100" workbookViewId="0">
      <selection activeCell="C20" sqref="C20"/>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TC94</v>
      </c>
    </row>
    <row r="3" spans="1:5">
      <c r="A3" s="100" t="s">
        <v>19</v>
      </c>
      <c r="B3" s="108">
        <f ca="1">VLOOKUP(B2,Table53[#All],2,FALSE)</f>
        <v>0</v>
      </c>
    </row>
    <row r="4" spans="1:5" ht="45">
      <c r="A4" s="109" t="s">
        <v>20</v>
      </c>
      <c r="B4" s="95" t="str">
        <f ca="1">VLOOKUP(B2,Table53[#All],4,FALSE)</f>
        <v>svcArea=titleSvcs, serviceType=chgOwnership, Not in progress or complete &lt;90days. 325-V-ND-X</v>
      </c>
      <c r="C4" s="94" t="s">
        <v>252</v>
      </c>
    </row>
    <row r="5" spans="1:5" ht="45">
      <c r="A5" s="100" t="s">
        <v>6</v>
      </c>
      <c r="B5" s="75" t="str">
        <f ca="1">VLOOKUP(B2,Table53[#All],3,FALSE)</f>
        <v xml:space="preserve">CallStart Main Menu /Title /Ownership changes/ID Auth=True/ transfer owner at ChangeMenu/HU after hearing peg 0330 </v>
      </c>
    </row>
    <row r="7" spans="1:5" ht="15.75">
      <c r="A7" s="96" t="s">
        <v>7</v>
      </c>
      <c r="B7" s="97" t="s">
        <v>8</v>
      </c>
      <c r="C7" s="98" t="s">
        <v>9</v>
      </c>
      <c r="D7" s="98" t="s">
        <v>14</v>
      </c>
      <c r="E7" s="99" t="s">
        <v>10</v>
      </c>
    </row>
    <row r="8" spans="1:5">
      <c r="A8" s="114">
        <v>1</v>
      </c>
      <c r="B8" s="110" t="s">
        <v>114</v>
      </c>
      <c r="C8" s="105" t="s">
        <v>125</v>
      </c>
      <c r="D8" s="125"/>
      <c r="E8" s="122" t="s">
        <v>11</v>
      </c>
    </row>
    <row r="9" spans="1:5" s="93" customFormat="1">
      <c r="A9" s="114">
        <v>2</v>
      </c>
      <c r="B9" s="110" t="s">
        <v>115</v>
      </c>
      <c r="C9" s="105" t="str">
        <f>VLOOKUP(Table25751984[[#This Row],[PEG]],Table1016[#All],2,FALSE)</f>
        <v>CallID.wav Call ID &lt;CallID&gt;</v>
      </c>
      <c r="D9" s="152" t="s">
        <v>477</v>
      </c>
      <c r="E9" s="122" t="str">
        <f>VLOOKUP(Table25751984[[#This Row],[PEG]],Table1016[#All],3,FALSE)</f>
        <v>TEST</v>
      </c>
    </row>
    <row r="10" spans="1:5" s="93" customFormat="1" ht="30">
      <c r="A10" s="114">
        <v>3</v>
      </c>
      <c r="B10" s="110" t="s">
        <v>115</v>
      </c>
      <c r="C10" s="105" t="str">
        <f>VLOOKUP(Table25751984[[#This Row],[PEG]],Table1016[#All],2,FALSE)</f>
        <v>0100.wav Thank you for calling Shell vacations Club, we are glad you called. Please have your account number available for faster service. [To continue in Spanish, press 9]</v>
      </c>
      <c r="D10" s="152">
        <v>100</v>
      </c>
      <c r="E10" s="122" t="str">
        <f>VLOOKUP(Table25751984[[#This Row],[PEG]],Table1016[#All],3,FALSE)</f>
        <v>PLAY PROMPT</v>
      </c>
    </row>
    <row r="11" spans="1:5" s="93" customFormat="1" ht="30">
      <c r="A11" s="114">
        <v>4</v>
      </c>
      <c r="B11" s="110" t="s">
        <v>115</v>
      </c>
      <c r="C11" s="105" t="str">
        <f>VLOOKUP(Table25751984[[#This Row],[PEG]],Table1016[#All],2,FALSE)</f>
        <v>0110-1.wav Which would you like? You can say... reservations, payments &amp; statements, title &amp; ownership changes, or more options.</v>
      </c>
      <c r="D11" s="152">
        <v>110</v>
      </c>
      <c r="E11" s="122" t="str">
        <f>VLOOKUP(Table25751984[[#This Row],[PEG]],Table1016[#All],3,FALSE)</f>
        <v>MENU PROMPT</v>
      </c>
    </row>
    <row r="12" spans="1:5" s="93" customFormat="1">
      <c r="A12" s="114">
        <v>5</v>
      </c>
      <c r="B12" s="110" t="s">
        <v>124</v>
      </c>
      <c r="C12" s="151" t="s">
        <v>486</v>
      </c>
      <c r="D12" s="152"/>
      <c r="E12" s="122" t="e">
        <f>VLOOKUP(Table25751984[[#This Row],[PEG]],Table1016[#All],3,FALSE)</f>
        <v>#N/A</v>
      </c>
    </row>
    <row r="13" spans="1:5" s="93" customFormat="1" ht="30">
      <c r="A13" s="114">
        <v>6</v>
      </c>
      <c r="B13" s="110" t="s">
        <v>115</v>
      </c>
      <c r="C13" s="105" t="str">
        <f>VLOOKUP(Table25751984[[#This Row],[PEG]],Table1016[#All],2,FALSE)</f>
        <v>0300-1.wav You can say ownership changes, check status, make a payment, or help me with something else. Which would you like?</v>
      </c>
      <c r="D13" s="152">
        <v>300</v>
      </c>
      <c r="E13" s="122" t="str">
        <f>VLOOKUP(Table25751984[[#This Row],[PEG]],Table1016[#All],3,FALSE)</f>
        <v>MENU PROMPT</v>
      </c>
    </row>
    <row r="14" spans="1:5" s="93" customFormat="1">
      <c r="A14" s="114">
        <v>7</v>
      </c>
      <c r="B14" s="110" t="s">
        <v>124</v>
      </c>
      <c r="C14" s="151" t="s">
        <v>527</v>
      </c>
      <c r="D14" s="125"/>
      <c r="E14" s="122" t="e">
        <f>VLOOKUP(Table25751984[[#This Row],[PEG]],Table1016[#All],3,FALSE)</f>
        <v>#N/A</v>
      </c>
    </row>
    <row r="15" spans="1:5">
      <c r="A15" s="114">
        <v>8</v>
      </c>
      <c r="B15" s="110" t="s">
        <v>115</v>
      </c>
      <c r="C15" s="105" t="str">
        <f>VLOOKUP(Table25751984[[#This Row],[PEG]],Table1016[#All],2,FALSE)</f>
        <v>0200-1.wav To get started, what is your account number?</v>
      </c>
      <c r="D15" s="153">
        <v>200</v>
      </c>
      <c r="E15" s="122" t="str">
        <f>VLOOKUP(Table25751984[[#This Row],[PEG]],Table1016[#All],3,FALSE)</f>
        <v>MENU PROMPT</v>
      </c>
    </row>
    <row r="16" spans="1:5">
      <c r="A16" s="114">
        <v>9</v>
      </c>
      <c r="B16" s="110" t="s">
        <v>114</v>
      </c>
      <c r="C16" s="151" t="s">
        <v>515</v>
      </c>
      <c r="D16" s="112"/>
      <c r="E16" s="122" t="e">
        <f>VLOOKUP(Table25751984[[#This Row],[PEG]],Table1016[#All],3,FALSE)</f>
        <v>#N/A</v>
      </c>
    </row>
    <row r="17" spans="1:5">
      <c r="A17" s="114">
        <v>10</v>
      </c>
      <c r="B17" s="110" t="s">
        <v>115</v>
      </c>
      <c r="C17" s="105" t="str">
        <f>VLOOKUP(Table25751984[[#This Row],[PEG]],Table1016[#All],2,FALSE)</f>
        <v>0210-1.wav And the date of birth for the primary owner?</v>
      </c>
      <c r="D17" s="154">
        <v>210</v>
      </c>
      <c r="E17" s="122" t="str">
        <f>VLOOKUP(Table25751984[[#This Row],[PEG]],Table1016[#All],3,FALSE)</f>
        <v>MENU PROMPT</v>
      </c>
    </row>
    <row r="18" spans="1:5">
      <c r="A18" s="114">
        <v>11</v>
      </c>
      <c r="B18" s="110" t="s">
        <v>124</v>
      </c>
      <c r="C18" s="151" t="s">
        <v>524</v>
      </c>
      <c r="D18" s="113"/>
      <c r="E18" s="122" t="e">
        <f>VLOOKUP(Table25751984[[#This Row],[PEG]],Table1016[#All],3,FALSE)</f>
        <v>#N/A</v>
      </c>
    </row>
    <row r="19" spans="1:5" ht="45">
      <c r="A19" s="114">
        <v>12</v>
      </c>
      <c r="B19" s="110" t="s">
        <v>115</v>
      </c>
      <c r="C19" s="105" t="str">
        <f>VLOOKUP(Table25751984[[#This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54">
        <v>320</v>
      </c>
      <c r="E19" s="122" t="str">
        <f>VLOOKUP(Table25751984[[#This Row],[PEG]],Table1016[#All],3,FALSE)</f>
        <v>MENU PROMPT</v>
      </c>
    </row>
    <row r="20" spans="1:5">
      <c r="A20" s="114">
        <v>13</v>
      </c>
      <c r="B20" s="110" t="s">
        <v>124</v>
      </c>
      <c r="C20" s="151" t="s">
        <v>507</v>
      </c>
      <c r="D20" s="113"/>
      <c r="E20" s="122" t="e">
        <f>VLOOKUP(Table25751984[[#This Row],[PEG]],Table1016[#All],3,FALSE)</f>
        <v>#N/A</v>
      </c>
    </row>
    <row r="21" spans="1:5" ht="75">
      <c r="A21" s="114">
        <v>14</v>
      </c>
      <c r="B21" s="110" t="s">
        <v>115</v>
      </c>
      <c r="C21" s="105" t="str">
        <f>VLOOKUP(Table25751984[[#This Row],[PEG]],Table1016[#All],2,FALSE)</f>
        <v>Wyndham requires a $299 processing fee to update ownership. In addition, a written request with each of the new owner's, first and last name, address, phone number, email address, date of birth, and copy of government issued ID must be submitted. Please send the information to 6277 Sea Harbor Drive, Orlando, Florida 32821, attention, Ownership Change. Once the information and fee is received, Wyndham will send transfer or add paperwork to be signed in front of a notary and returned.</v>
      </c>
      <c r="D21" s="94" t="s">
        <v>252</v>
      </c>
      <c r="E21" s="122" t="str">
        <f>VLOOKUP(Table25751984[[#This Row],[PEG]],Table1016[#All],3,FALSE)</f>
        <v>PLAY PROMPT</v>
      </c>
    </row>
    <row r="22" spans="1:5" ht="30">
      <c r="A22" s="114">
        <v>15</v>
      </c>
      <c r="B22" s="110" t="s">
        <v>115</v>
      </c>
      <c r="C22" s="105" t="str">
        <f>VLOOKUP(Table25751984[[#This Row],[PEG]],Table1016[#All],2,FALSE)</f>
        <v>0330-1.wav To hear this information again, say repeat that. If you would like me to send you a letter with instructions to start the process, say information letter.</v>
      </c>
      <c r="D22" s="154">
        <v>330</v>
      </c>
      <c r="E22" s="122" t="str">
        <f>VLOOKUP(Table25751984[[#This Row],[PEG]],Table1016[#All],3,FALSE)</f>
        <v>MENU PROMPT</v>
      </c>
    </row>
    <row r="23" spans="1:5">
      <c r="A23" s="114">
        <v>16</v>
      </c>
      <c r="B23" s="110" t="s">
        <v>13</v>
      </c>
      <c r="C23" s="17" t="s">
        <v>13</v>
      </c>
      <c r="D23" s="111"/>
      <c r="E23" s="31"/>
    </row>
    <row r="24" spans="1:5">
      <c r="C24" s="26"/>
    </row>
    <row r="25" spans="1:5">
      <c r="C25" s="26"/>
    </row>
    <row r="26" spans="1:5">
      <c r="C26" s="26"/>
    </row>
  </sheetData>
  <mergeCells count="1">
    <mergeCell ref="A1:B1"/>
  </mergeCells>
  <conditionalFormatting sqref="C24:C9964">
    <cfRule type="expression" dxfId="3417" priority="67">
      <formula>$B24="Dial"</formula>
    </cfRule>
    <cfRule type="expression" dxfId="3416" priority="69">
      <formula>$B24="HANGUP"</formula>
    </cfRule>
  </conditionalFormatting>
  <conditionalFormatting sqref="B23">
    <cfRule type="containsText" dxfId="3415" priority="29" operator="containsText" text="Hear">
      <formula>NOT(ISERROR(SEARCH("Hear",B23)))</formula>
    </cfRule>
  </conditionalFormatting>
  <conditionalFormatting sqref="E23">
    <cfRule type="containsText" dxfId="3414" priority="27" operator="containsText" text="WEB SERVICE">
      <formula>NOT(ISERROR(SEARCH("WEB SERVICE",E23)))</formula>
    </cfRule>
    <cfRule type="containsText" dxfId="3413" priority="28" operator="containsText" text="DB">
      <formula>NOT(ISERROR(SEARCH("DB",E23)))</formula>
    </cfRule>
  </conditionalFormatting>
  <conditionalFormatting sqref="C23">
    <cfRule type="expression" dxfId="3412" priority="30">
      <formula>$B23="Dial"</formula>
    </cfRule>
    <cfRule type="expression" dxfId="3411" priority="32">
      <formula>$B23="HANGUP"</formula>
    </cfRule>
  </conditionalFormatting>
  <conditionalFormatting sqref="C23">
    <cfRule type="expression" dxfId="3410" priority="31">
      <formula>$B23="Speak"</formula>
    </cfRule>
  </conditionalFormatting>
  <conditionalFormatting sqref="B8">
    <cfRule type="containsText" dxfId="3409" priority="16" operator="containsText" text="Hear">
      <formula>NOT(ISERROR(SEARCH("Hear",B8)))</formula>
    </cfRule>
  </conditionalFormatting>
  <conditionalFormatting sqref="B20:B22">
    <cfRule type="containsText" dxfId="3408" priority="15" operator="containsText" text="Hear">
      <formula>NOT(ISERROR(SEARCH("Hear",B20)))</formula>
    </cfRule>
  </conditionalFormatting>
  <conditionalFormatting sqref="B18:B19">
    <cfRule type="containsText" dxfId="3407" priority="14" operator="containsText" text="Hear">
      <formula>NOT(ISERROR(SEARCH("Hear",B18)))</formula>
    </cfRule>
  </conditionalFormatting>
  <conditionalFormatting sqref="B9:B17">
    <cfRule type="containsText" dxfId="3406" priority="13" operator="containsText" text="Hear">
      <formula>NOT(ISERROR(SEARCH("Hear",B9)))</formula>
    </cfRule>
  </conditionalFormatting>
  <hyperlinks>
    <hyperlink ref="A1" location="'Test Case Overview'!A1" display="Return to Test Case Overview" xr:uid="{00000000-0004-0000-5E00-000000000000}"/>
  </hyperlink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3" id="{E7442D4C-13C9-469D-88B2-9A9C02081D14}">
            <xm:f>'TC1'!$B8="HANGUP"</xm:f>
            <x14:dxf>
              <font>
                <b/>
                <i val="0"/>
              </font>
            </x14:dxf>
          </x14:cfRule>
          <x14:cfRule type="expression" priority="24" id="{82746E02-D635-4DF7-BD3C-DDF3F9C002F5}">
            <xm:f>'TC1'!$B8="Dial"</xm:f>
            <x14:dxf>
              <font>
                <b/>
                <i val="0"/>
                <color rgb="FFFF0000"/>
              </font>
            </x14:dxf>
          </x14:cfRule>
          <xm:sqref>C8</xm:sqref>
        </x14:conditionalFormatting>
        <x14:conditionalFormatting xmlns:xm="http://schemas.microsoft.com/office/excel/2006/main">
          <x14:cfRule type="expression" priority="25" id="{40929436-96B7-4F1F-9492-B602CC1326AD}">
            <xm:f>'TC1'!$B8="Speak"</xm:f>
            <x14:dxf>
              <font>
                <b/>
                <i val="0"/>
                <color rgb="FFFF0000"/>
              </font>
            </x14:dxf>
          </x14:cfRule>
          <xm:sqref>C8</xm:sqref>
        </x14:conditionalFormatting>
        <x14:conditionalFormatting xmlns:xm="http://schemas.microsoft.com/office/excel/2006/main">
          <x14:cfRule type="containsText" priority="22" operator="containsText" text="DB" id="{810858FB-2445-4B32-86BB-FB3961A1CDF2}">
            <xm:f>NOT(ISERROR(SEARCH("DB",'TC1'!E10)))</xm:f>
            <x14:dxf>
              <font>
                <color rgb="FF006100"/>
              </font>
              <fill>
                <patternFill>
                  <bgColor rgb="FFC6EFCE"/>
                </patternFill>
              </fill>
            </x14:dxf>
          </x14:cfRule>
          <x14:cfRule type="containsText" priority="26" operator="containsText" text="WEB SERVICE" id="{07BB3DCC-0D43-45AA-8ECC-8566DFCC874A}">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2163" id="{E7442D4C-13C9-469D-88B2-9A9C02081D14}">
            <xm:f>'TC1'!#REF!="HANGUP"</xm:f>
            <x14:dxf>
              <font>
                <b/>
                <i val="0"/>
              </font>
            </x14:dxf>
          </x14:cfRule>
          <x14:cfRule type="expression" priority="2164" id="{82746E02-D635-4DF7-BD3C-DDF3F9C002F5}">
            <xm:f>'TC1'!#REF!="Dial"</xm:f>
            <x14:dxf>
              <font>
                <b/>
                <i val="0"/>
                <color rgb="FFFF0000"/>
              </font>
            </x14:dxf>
          </x14:cfRule>
          <xm:sqref>C13 C15 C17 C19:C22</xm:sqref>
        </x14:conditionalFormatting>
        <x14:conditionalFormatting xmlns:xm="http://schemas.microsoft.com/office/excel/2006/main">
          <x14:cfRule type="expression" priority="2169" id="{40929436-96B7-4F1F-9492-B602CC1326AD}">
            <xm:f>'TC1'!#REF!="Speak"</xm:f>
            <x14:dxf>
              <font>
                <b/>
                <i val="0"/>
                <color rgb="FFFF0000"/>
              </font>
            </x14:dxf>
          </x14:cfRule>
          <xm:sqref>C13 C15 C17 C19:C22</xm:sqref>
        </x14:conditionalFormatting>
        <x14:conditionalFormatting xmlns:xm="http://schemas.microsoft.com/office/excel/2006/main">
          <x14:cfRule type="containsText" priority="2175" operator="containsText" text="DB" id="{810858FB-2445-4B32-86BB-FB3961A1CDF2}">
            <xm:f>NOT(ISERROR(SEARCH("DB",'TC1'!#REF!)))</xm:f>
            <x14:dxf>
              <font>
                <color rgb="FF006100"/>
              </font>
              <fill>
                <patternFill>
                  <bgColor rgb="FFC6EFCE"/>
                </patternFill>
              </fill>
            </x14:dxf>
          </x14:cfRule>
          <x14:cfRule type="containsText" priority="2176" operator="containsText" text="WEB SERVICE" id="{07BB3DCC-0D43-45AA-8ECC-8566DFCC874A}">
            <xm:f>NOT(ISERROR(SEARCH("WEB SERVICE",'TC1'!#REF!)))</xm:f>
            <x14:dxf>
              <font>
                <color rgb="FF9C0006"/>
              </font>
              <fill>
                <patternFill>
                  <bgColor rgb="FFFFC7CE"/>
                </patternFill>
              </fill>
            </x14:dxf>
          </x14:cfRule>
          <xm:sqref>E13:E22</xm:sqref>
        </x14:conditionalFormatting>
        <x14:conditionalFormatting xmlns:xm="http://schemas.microsoft.com/office/excel/2006/main">
          <x14:cfRule type="expression" priority="4125" id="{E7442D4C-13C9-469D-88B2-9A9C02081D14}">
            <xm:f>'TC1'!$B10="HANGUP"</xm:f>
            <x14:dxf>
              <font>
                <b/>
                <i val="0"/>
              </font>
            </x14:dxf>
          </x14:cfRule>
          <x14:cfRule type="expression" priority="4126" id="{82746E02-D635-4DF7-BD3C-DDF3F9C002F5}">
            <xm:f>'TC1'!$B10="Dial"</xm:f>
            <x14:dxf>
              <font>
                <b/>
                <i val="0"/>
                <color rgb="FFFF0000"/>
              </font>
            </x14:dxf>
          </x14:cfRule>
          <xm:sqref>C9:C11</xm:sqref>
        </x14:conditionalFormatting>
        <x14:conditionalFormatting xmlns:xm="http://schemas.microsoft.com/office/excel/2006/main">
          <x14:cfRule type="expression" priority="4128" id="{40929436-96B7-4F1F-9492-B602CC1326AD}">
            <xm:f>'TC1'!$B10="Speak"</xm:f>
            <x14:dxf>
              <font>
                <b/>
                <i val="0"/>
                <color rgb="FFFF0000"/>
              </font>
            </x14:dxf>
          </x14:cfRule>
          <xm:sqref>C9:C11</xm:sqref>
        </x14:conditionalFormatting>
        <x14:conditionalFormatting xmlns:xm="http://schemas.microsoft.com/office/excel/2006/main">
          <x14:cfRule type="expression" priority="10" id="{EA39A86B-2578-4F1E-8AEF-E911642F3A21}">
            <xm:f>'TC1'!#REF!="HANGUP"</xm:f>
            <x14:dxf>
              <font>
                <b/>
                <i val="0"/>
              </font>
            </x14:dxf>
          </x14:cfRule>
          <x14:cfRule type="expression" priority="11" id="{72960C42-7EB1-4C09-BB51-6F3139747B7E}">
            <xm:f>'TC1'!#REF!="Dial"</xm:f>
            <x14:dxf>
              <font>
                <b/>
                <i val="0"/>
                <color rgb="FFFF0000"/>
              </font>
            </x14:dxf>
          </x14:cfRule>
          <xm:sqref>C12</xm:sqref>
        </x14:conditionalFormatting>
        <x14:conditionalFormatting xmlns:xm="http://schemas.microsoft.com/office/excel/2006/main">
          <x14:cfRule type="expression" priority="12" id="{9CB4D5E3-A2B6-49D0-B5E3-F1BF9437BB61}">
            <xm:f>'TC1'!#REF!="Speak"</xm:f>
            <x14:dxf>
              <font>
                <b/>
                <i val="0"/>
                <color rgb="FFFF0000"/>
              </font>
            </x14:dxf>
          </x14:cfRule>
          <xm:sqref>C12</xm:sqref>
        </x14:conditionalFormatting>
        <x14:conditionalFormatting xmlns:xm="http://schemas.microsoft.com/office/excel/2006/main">
          <x14:cfRule type="expression" priority="7" id="{2A88A30D-2645-477F-AD5D-6C1E39AD0B4D}">
            <xm:f>'TC1'!#REF!="HANGUP"</xm:f>
            <x14:dxf>
              <font>
                <b/>
                <i val="0"/>
              </font>
            </x14:dxf>
          </x14:cfRule>
          <x14:cfRule type="expression" priority="8" id="{79881F43-895E-4FE4-919E-C74593E1DFDC}">
            <xm:f>'TC1'!#REF!="Dial"</xm:f>
            <x14:dxf>
              <font>
                <b/>
                <i val="0"/>
                <color rgb="FFFF0000"/>
              </font>
            </x14:dxf>
          </x14:cfRule>
          <xm:sqref>C14</xm:sqref>
        </x14:conditionalFormatting>
        <x14:conditionalFormatting xmlns:xm="http://schemas.microsoft.com/office/excel/2006/main">
          <x14:cfRule type="expression" priority="9" id="{A736C470-B1E3-4AD6-8CDC-9E0E9F4F160F}">
            <xm:f>'TC1'!#REF!="Speak"</xm:f>
            <x14:dxf>
              <font>
                <b/>
                <i val="0"/>
                <color rgb="FFFF0000"/>
              </font>
            </x14:dxf>
          </x14:cfRule>
          <xm:sqref>C14</xm:sqref>
        </x14:conditionalFormatting>
        <x14:conditionalFormatting xmlns:xm="http://schemas.microsoft.com/office/excel/2006/main">
          <x14:cfRule type="expression" priority="4" id="{1A7EAB95-A98B-49EE-9F9E-954EEF557A02}">
            <xm:f>'TC1'!#REF!="HANGUP"</xm:f>
            <x14:dxf>
              <font>
                <b/>
                <i val="0"/>
              </font>
            </x14:dxf>
          </x14:cfRule>
          <x14:cfRule type="expression" priority="5" id="{11850244-20EE-4D52-9FAA-5A9E012BFA1C}">
            <xm:f>'TC1'!#REF!="Dial"</xm:f>
            <x14:dxf>
              <font>
                <b/>
                <i val="0"/>
                <color rgb="FFFF0000"/>
              </font>
            </x14:dxf>
          </x14:cfRule>
          <xm:sqref>C16</xm:sqref>
        </x14:conditionalFormatting>
        <x14:conditionalFormatting xmlns:xm="http://schemas.microsoft.com/office/excel/2006/main">
          <x14:cfRule type="expression" priority="6" id="{2140B1A9-F0C3-41E7-B854-BFF0854A83B9}">
            <xm:f>'TC1'!#REF!="Speak"</xm:f>
            <x14:dxf>
              <font>
                <b/>
                <i val="0"/>
                <color rgb="FFFF0000"/>
              </font>
            </x14:dxf>
          </x14:cfRule>
          <xm:sqref>C16</xm:sqref>
        </x14:conditionalFormatting>
        <x14:conditionalFormatting xmlns:xm="http://schemas.microsoft.com/office/excel/2006/main">
          <x14:cfRule type="expression" priority="1" id="{CC6B6206-2382-4FF5-9B94-9B33BC699227}">
            <xm:f>'TC1'!#REF!="HANGUP"</xm:f>
            <x14:dxf>
              <font>
                <b/>
                <i val="0"/>
              </font>
            </x14:dxf>
          </x14:cfRule>
          <x14:cfRule type="expression" priority="2" id="{1781F211-46F9-4CF9-AEDE-925D467797A8}">
            <xm:f>'TC1'!#REF!="Dial"</xm:f>
            <x14:dxf>
              <font>
                <b/>
                <i val="0"/>
                <color rgb="FFFF0000"/>
              </font>
            </x14:dxf>
          </x14:cfRule>
          <xm:sqref>C18</xm:sqref>
        </x14:conditionalFormatting>
        <x14:conditionalFormatting xmlns:xm="http://schemas.microsoft.com/office/excel/2006/main">
          <x14:cfRule type="expression" priority="3" id="{7E4F3DA6-5571-4002-88E6-CED390AE88ED}">
            <xm:f>'TC1'!#REF!="Speak"</xm:f>
            <x14:dxf>
              <font>
                <b/>
                <i val="0"/>
                <color rgb="FFFF0000"/>
              </font>
            </x14:dxf>
          </x14:cfRule>
          <xm:sqref>C18</xm:sqref>
        </x14:conditionalFormatting>
      </x14:conditionalFormattings>
    </ext>
  </extLst>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7"/>
  <dimension ref="A1:E41"/>
  <sheetViews>
    <sheetView zoomScaleNormal="100" workbookViewId="0">
      <selection activeCell="C3" sqref="C3"/>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TC95</v>
      </c>
    </row>
    <row r="3" spans="1:5">
      <c r="A3" s="100" t="s">
        <v>19</v>
      </c>
      <c r="B3" s="108">
        <f ca="1">VLOOKUP(B2,Table53[#All],2,FALSE)</f>
        <v>0</v>
      </c>
    </row>
    <row r="4" spans="1:5" ht="45">
      <c r="A4" s="109" t="s">
        <v>20</v>
      </c>
      <c r="B4" s="95" t="str">
        <f ca="1">VLOOKUP(B2,Table53[#All],4,FALSE)</f>
        <v>svcArea=titleSvcs, serviceType=chgOwnership, Not in progress or complete &lt;90days. 325-V-DD-X</v>
      </c>
      <c r="C4" s="94" t="s">
        <v>253</v>
      </c>
    </row>
    <row r="5" spans="1:5" ht="45">
      <c r="A5" s="100" t="s">
        <v>6</v>
      </c>
      <c r="B5" s="75" t="str">
        <f ca="1">VLOOKUP(B2,Table53[#All],3,FALSE)</f>
        <v xml:space="preserve">CallStart Main Menu /Title /Ownership changes/ID Auth=True/ transfer owner at ChangeMenu/HU after hearing peg 0330 </v>
      </c>
    </row>
    <row r="7" spans="1:5" ht="15.75">
      <c r="A7" s="96" t="s">
        <v>7</v>
      </c>
      <c r="B7" s="97" t="s">
        <v>8</v>
      </c>
      <c r="C7" s="98" t="s">
        <v>9</v>
      </c>
      <c r="D7" s="98" t="s">
        <v>14</v>
      </c>
      <c r="E7" s="99" t="s">
        <v>10</v>
      </c>
    </row>
    <row r="8" spans="1:5">
      <c r="A8" s="114">
        <v>1</v>
      </c>
      <c r="B8" s="110" t="s">
        <v>114</v>
      </c>
      <c r="C8" s="105" t="s">
        <v>125</v>
      </c>
      <c r="D8" s="125"/>
      <c r="E8" s="122" t="s">
        <v>11</v>
      </c>
    </row>
    <row r="9" spans="1:5" s="93" customFormat="1">
      <c r="A9" s="114">
        <v>2</v>
      </c>
      <c r="B9" s="110" t="s">
        <v>115</v>
      </c>
      <c r="C9" s="105" t="str">
        <f>VLOOKUP(Table25751985[[#This Row],[PEG]],Table1016[#All],2,FALSE)</f>
        <v>CallID.wav Call ID &lt;CallID&gt;</v>
      </c>
      <c r="D9" s="152" t="s">
        <v>477</v>
      </c>
      <c r="E9" s="122" t="str">
        <f>VLOOKUP(Table25751985[[#This Row],[PEG]],Table1016[#All],3,FALSE)</f>
        <v>TEST</v>
      </c>
    </row>
    <row r="10" spans="1:5" s="93" customFormat="1" ht="30">
      <c r="A10" s="114">
        <v>3</v>
      </c>
      <c r="B10" s="110" t="s">
        <v>115</v>
      </c>
      <c r="C10" s="105" t="str">
        <f>VLOOKUP(Table25751985[[#This Row],[PEG]],Table1016[#All],2,FALSE)</f>
        <v>0100.wav Thank you for calling Shell vacations Club, we are glad you called. Please have your account number available for faster service. [To continue in Spanish, press 9]</v>
      </c>
      <c r="D10" s="152">
        <v>100</v>
      </c>
      <c r="E10" s="122" t="str">
        <f>VLOOKUP(Table25751985[[#This Row],[PEG]],Table1016[#All],3,FALSE)</f>
        <v>PLAY PROMPT</v>
      </c>
    </row>
    <row r="11" spans="1:5" s="93" customFormat="1" ht="30">
      <c r="A11" s="114">
        <v>4</v>
      </c>
      <c r="B11" s="110" t="s">
        <v>115</v>
      </c>
      <c r="C11" s="105" t="str">
        <f>VLOOKUP(Table25751985[[#This Row],[PEG]],Table1016[#All],2,FALSE)</f>
        <v>0110-1.wav Which would you like? You can say... reservations, payments &amp; statements, title &amp; ownership changes, or more options.</v>
      </c>
      <c r="D11" s="152">
        <v>110</v>
      </c>
      <c r="E11" s="122" t="str">
        <f>VLOOKUP(Table25751985[[#This Row],[PEG]],Table1016[#All],3,FALSE)</f>
        <v>MENU PROMPT</v>
      </c>
    </row>
    <row r="12" spans="1:5" s="93" customFormat="1">
      <c r="A12" s="114">
        <v>5</v>
      </c>
      <c r="B12" s="110" t="s">
        <v>124</v>
      </c>
      <c r="C12" s="151" t="s">
        <v>486</v>
      </c>
      <c r="D12" s="152"/>
      <c r="E12" s="122" t="e">
        <f>VLOOKUP(Table25751985[[#This Row],[PEG]],Table1016[#All],3,FALSE)</f>
        <v>#N/A</v>
      </c>
    </row>
    <row r="13" spans="1:5" s="93" customFormat="1" ht="30">
      <c r="A13" s="114">
        <v>6</v>
      </c>
      <c r="B13" s="110" t="s">
        <v>115</v>
      </c>
      <c r="C13" s="105" t="str">
        <f>VLOOKUP(Table25751985[[#This Row],[PEG]],Table1016[#All],2,FALSE)</f>
        <v>0300-1.wav You can say ownership changes, check status, make a payment, or help me with something else. Which would you like?</v>
      </c>
      <c r="D13" s="152">
        <v>300</v>
      </c>
      <c r="E13" s="122" t="str">
        <f>VLOOKUP(Table25751985[[#This Row],[PEG]],Table1016[#All],3,FALSE)</f>
        <v>MENU PROMPT</v>
      </c>
    </row>
    <row r="14" spans="1:5" s="93" customFormat="1">
      <c r="A14" s="114">
        <v>7</v>
      </c>
      <c r="B14" s="110" t="s">
        <v>124</v>
      </c>
      <c r="C14" s="151" t="s">
        <v>527</v>
      </c>
      <c r="D14" s="125"/>
      <c r="E14" s="122" t="e">
        <f>VLOOKUP(Table25751985[[#This Row],[PEG]],Table1016[#All],3,FALSE)</f>
        <v>#N/A</v>
      </c>
    </row>
    <row r="15" spans="1:5">
      <c r="A15" s="114">
        <v>8</v>
      </c>
      <c r="B15" s="110" t="s">
        <v>115</v>
      </c>
      <c r="C15" s="105" t="str">
        <f>VLOOKUP(Table25751985[[#This Row],[PEG]],Table1016[#All],2,FALSE)</f>
        <v>0200-1.wav To get started, what is your account number?</v>
      </c>
      <c r="D15" s="153">
        <v>200</v>
      </c>
      <c r="E15" s="122" t="str">
        <f>VLOOKUP(Table25751985[[#This Row],[PEG]],Table1016[#All],3,FALSE)</f>
        <v>MENU PROMPT</v>
      </c>
    </row>
    <row r="16" spans="1:5">
      <c r="A16" s="114">
        <v>9</v>
      </c>
      <c r="B16" s="110" t="s">
        <v>114</v>
      </c>
      <c r="C16" s="151" t="s">
        <v>515</v>
      </c>
      <c r="D16" s="112"/>
      <c r="E16" s="122" t="e">
        <f>VLOOKUP(Table25751985[[#This Row],[PEG]],Table1016[#All],3,FALSE)</f>
        <v>#N/A</v>
      </c>
    </row>
    <row r="17" spans="1:5">
      <c r="A17" s="114">
        <v>10</v>
      </c>
      <c r="B17" s="110" t="s">
        <v>115</v>
      </c>
      <c r="C17" s="105" t="str">
        <f>VLOOKUP(Table25751985[[#This Row],[PEG]],Table1016[#All],2,FALSE)</f>
        <v>0210-1.wav And the date of birth for the primary owner?</v>
      </c>
      <c r="D17" s="154">
        <v>210</v>
      </c>
      <c r="E17" s="122" t="str">
        <f>VLOOKUP(Table25751985[[#This Row],[PEG]],Table1016[#All],3,FALSE)</f>
        <v>MENU PROMPT</v>
      </c>
    </row>
    <row r="18" spans="1:5">
      <c r="A18" s="114">
        <v>11</v>
      </c>
      <c r="B18" s="110" t="s">
        <v>124</v>
      </c>
      <c r="C18" s="151" t="s">
        <v>524</v>
      </c>
      <c r="D18" s="113"/>
      <c r="E18" s="122" t="e">
        <f>VLOOKUP(Table25751985[[#This Row],[PEG]],Table1016[#All],3,FALSE)</f>
        <v>#N/A</v>
      </c>
    </row>
    <row r="19" spans="1:5" ht="45">
      <c r="A19" s="114">
        <v>12</v>
      </c>
      <c r="B19" s="110" t="s">
        <v>115</v>
      </c>
      <c r="C19" s="105" t="str">
        <f>VLOOKUP(Table25751985[[#This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54">
        <v>320</v>
      </c>
      <c r="E19" s="122" t="str">
        <f>VLOOKUP(Table25751985[[#This Row],[PEG]],Table1016[#All],3,FALSE)</f>
        <v>MENU PROMPT</v>
      </c>
    </row>
    <row r="20" spans="1:5">
      <c r="A20" s="114">
        <v>13</v>
      </c>
      <c r="B20" s="110" t="s">
        <v>124</v>
      </c>
      <c r="C20" s="151" t="s">
        <v>507</v>
      </c>
      <c r="D20" s="113"/>
      <c r="E20" s="122" t="e">
        <f>VLOOKUP(Table25751985[[#This Row],[PEG]],Table1016[#All],3,FALSE)</f>
        <v>#N/A</v>
      </c>
    </row>
    <row r="21" spans="1:5" ht="75">
      <c r="A21" s="114">
        <v>14</v>
      </c>
      <c r="B21" s="110" t="s">
        <v>115</v>
      </c>
      <c r="C21" s="105" t="str">
        <f>VLOOKUP(Table25751985[[#This Row],[PEG]],Table1016[#All],2,FALSE)</f>
        <v>Wyndham requires a $299 processing fee to update ownership and a new recorded deed from the county where you own the property. We recommend that you use a licensed professional to execute the document. In addition to the new recorded deed, please send the new owner's, first and last name, address, phone number, email address, date of birth, along with a copy of their government issued ID. Please send the information to 6277 Sea Harbor Drive, Orlando Florida 32821, attention, Ownership Change.</v>
      </c>
      <c r="D21" s="94" t="s">
        <v>253</v>
      </c>
      <c r="E21" s="122" t="str">
        <f>VLOOKUP(Table25751985[[#This Row],[PEG]],Table1016[#All],3,FALSE)</f>
        <v>PLAY PROMPT</v>
      </c>
    </row>
    <row r="22" spans="1:5" ht="30">
      <c r="A22" s="114">
        <v>15</v>
      </c>
      <c r="B22" s="110" t="s">
        <v>115</v>
      </c>
      <c r="C22" s="105" t="str">
        <f>VLOOKUP(Table25751985[[#This Row],[PEG]],Table1016[#All],2,FALSE)</f>
        <v>0330-1.wav To hear this information again, say repeat that. If you would like me to send you a letter with instructions to start the process, say information letter.</v>
      </c>
      <c r="D22" s="154">
        <v>330</v>
      </c>
      <c r="E22" s="122" t="str">
        <f>VLOOKUP(Table25751985[[#This Row],[PEG]],Table1016[#All],3,FALSE)</f>
        <v>MENU PROMPT</v>
      </c>
    </row>
    <row r="23" spans="1:5">
      <c r="A23" s="114">
        <v>16</v>
      </c>
      <c r="B23" s="110" t="s">
        <v>13</v>
      </c>
      <c r="C23" s="17" t="s">
        <v>13</v>
      </c>
      <c r="D23" s="111"/>
      <c r="E23" s="31"/>
    </row>
    <row r="24" spans="1:5">
      <c r="C24" s="25"/>
      <c r="D24" s="107" t="s">
        <v>0</v>
      </c>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5"/>
    </row>
    <row r="39" spans="3:3">
      <c r="C39" s="26"/>
    </row>
    <row r="40" spans="3:3">
      <c r="C40" s="26"/>
    </row>
    <row r="41" spans="3:3">
      <c r="C41" s="26"/>
    </row>
  </sheetData>
  <mergeCells count="1">
    <mergeCell ref="A1:B1"/>
  </mergeCells>
  <conditionalFormatting sqref="C24:C9980">
    <cfRule type="expression" dxfId="3371" priority="67">
      <formula>$B24="Dial"</formula>
    </cfRule>
    <cfRule type="expression" dxfId="3370" priority="69">
      <formula>$B24="HANGUP"</formula>
    </cfRule>
  </conditionalFormatting>
  <conditionalFormatting sqref="B23">
    <cfRule type="containsText" dxfId="3369" priority="22" operator="containsText" text="Hear">
      <formula>NOT(ISERROR(SEARCH("Hear",B23)))</formula>
    </cfRule>
  </conditionalFormatting>
  <conditionalFormatting sqref="E23">
    <cfRule type="containsText" dxfId="3368" priority="30" operator="containsText" text="WEB SERVICE">
      <formula>NOT(ISERROR(SEARCH("WEB SERVICE",E23)))</formula>
    </cfRule>
    <cfRule type="containsText" dxfId="3367" priority="31" operator="containsText" text="DB">
      <formula>NOT(ISERROR(SEARCH("DB",E23)))</formula>
    </cfRule>
  </conditionalFormatting>
  <conditionalFormatting sqref="C23">
    <cfRule type="expression" dxfId="3366" priority="33">
      <formula>$B23="Dial"</formula>
    </cfRule>
    <cfRule type="expression" dxfId="3365" priority="35">
      <formula>$B23="HANGUP"</formula>
    </cfRule>
  </conditionalFormatting>
  <conditionalFormatting sqref="C23">
    <cfRule type="expression" dxfId="3364" priority="34">
      <formula>$B23="Speak"</formula>
    </cfRule>
  </conditionalFormatting>
  <conditionalFormatting sqref="B8">
    <cfRule type="containsText" dxfId="3363" priority="19" operator="containsText" text="Hear">
      <formula>NOT(ISERROR(SEARCH("Hear",B8)))</formula>
    </cfRule>
  </conditionalFormatting>
  <conditionalFormatting sqref="B20:B22">
    <cfRule type="containsText" dxfId="3362" priority="18" operator="containsText" text="Hear">
      <formula>NOT(ISERROR(SEARCH("Hear",B20)))</formula>
    </cfRule>
  </conditionalFormatting>
  <conditionalFormatting sqref="B18:B19">
    <cfRule type="containsText" dxfId="3361" priority="17" operator="containsText" text="Hear">
      <formula>NOT(ISERROR(SEARCH("Hear",B18)))</formula>
    </cfRule>
  </conditionalFormatting>
  <conditionalFormatting sqref="B9:B17">
    <cfRule type="containsText" dxfId="3360" priority="16" operator="containsText" text="Hear">
      <formula>NOT(ISERROR(SEARCH("Hear",B9)))</formula>
    </cfRule>
  </conditionalFormatting>
  <hyperlinks>
    <hyperlink ref="A1" location="'Test Case Overview'!A1" display="Return to Test Case Overview" xr:uid="{00000000-0004-0000-5F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6" id="{25C75F67-6097-4F34-B801-F83EDEB03CBF}">
            <xm:f>'TC1'!$B8="HANGUP"</xm:f>
            <x14:dxf>
              <font>
                <b/>
                <i val="0"/>
              </font>
            </x14:dxf>
          </x14:cfRule>
          <x14:cfRule type="expression" priority="27" id="{A124E7C2-8619-4509-A83E-B3E124C116FE}">
            <xm:f>'TC1'!$B8="Dial"</xm:f>
            <x14:dxf>
              <font>
                <b/>
                <i val="0"/>
                <color rgb="FFFF0000"/>
              </font>
            </x14:dxf>
          </x14:cfRule>
          <xm:sqref>C8</xm:sqref>
        </x14:conditionalFormatting>
        <x14:conditionalFormatting xmlns:xm="http://schemas.microsoft.com/office/excel/2006/main">
          <x14:cfRule type="expression" priority="28" id="{05F30A76-0696-43FD-B476-FAC12FF272C9}">
            <xm:f>'TC1'!$B8="Speak"</xm:f>
            <x14:dxf>
              <font>
                <b/>
                <i val="0"/>
                <color rgb="FFFF0000"/>
              </font>
            </x14:dxf>
          </x14:cfRule>
          <xm:sqref>C8</xm:sqref>
        </x14:conditionalFormatting>
        <x14:conditionalFormatting xmlns:xm="http://schemas.microsoft.com/office/excel/2006/main">
          <x14:cfRule type="containsText" priority="25" operator="containsText" text="DB" id="{2982DCE9-443F-412A-A890-BD56C1BAC6FB}">
            <xm:f>NOT(ISERROR(SEARCH("DB",'TC1'!E10)))</xm:f>
            <x14:dxf>
              <font>
                <color rgb="FF006100"/>
              </font>
              <fill>
                <patternFill>
                  <bgColor rgb="FFC6EFCE"/>
                </patternFill>
              </fill>
            </x14:dxf>
          </x14:cfRule>
          <x14:cfRule type="containsText" priority="29" operator="containsText" text="WEB SERVICE" id="{E93EE3DE-ABA8-4FDA-B4DF-DDCE0336FA24}">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2186" id="{25C75F67-6097-4F34-B801-F83EDEB03CBF}">
            <xm:f>'TC1'!#REF!="HANGUP"</xm:f>
            <x14:dxf>
              <font>
                <b/>
                <i val="0"/>
              </font>
            </x14:dxf>
          </x14:cfRule>
          <x14:cfRule type="expression" priority="2187" id="{A124E7C2-8619-4509-A83E-B3E124C116FE}">
            <xm:f>'TC1'!#REF!="Dial"</xm:f>
            <x14:dxf>
              <font>
                <b/>
                <i val="0"/>
                <color rgb="FFFF0000"/>
              </font>
            </x14:dxf>
          </x14:cfRule>
          <xm:sqref>C13 C21:C22 C15 C17 C19</xm:sqref>
        </x14:conditionalFormatting>
        <x14:conditionalFormatting xmlns:xm="http://schemas.microsoft.com/office/excel/2006/main">
          <x14:cfRule type="expression" priority="2192" id="{05F30A76-0696-43FD-B476-FAC12FF272C9}">
            <xm:f>'TC1'!#REF!="Speak"</xm:f>
            <x14:dxf>
              <font>
                <b/>
                <i val="0"/>
                <color rgb="FFFF0000"/>
              </font>
            </x14:dxf>
          </x14:cfRule>
          <xm:sqref>C13 C21:C22 C15 C17 C19</xm:sqref>
        </x14:conditionalFormatting>
        <x14:conditionalFormatting xmlns:xm="http://schemas.microsoft.com/office/excel/2006/main">
          <x14:cfRule type="containsText" priority="2198" operator="containsText" text="DB" id="{2982DCE9-443F-412A-A890-BD56C1BAC6FB}">
            <xm:f>NOT(ISERROR(SEARCH("DB",'TC1'!#REF!)))</xm:f>
            <x14:dxf>
              <font>
                <color rgb="FF006100"/>
              </font>
              <fill>
                <patternFill>
                  <bgColor rgb="FFC6EFCE"/>
                </patternFill>
              </fill>
            </x14:dxf>
          </x14:cfRule>
          <x14:cfRule type="containsText" priority="2199" operator="containsText" text="WEB SERVICE" id="{E93EE3DE-ABA8-4FDA-B4DF-DDCE0336FA24}">
            <xm:f>NOT(ISERROR(SEARCH("WEB SERVICE",'TC1'!#REF!)))</xm:f>
            <x14:dxf>
              <font>
                <color rgb="FF9C0006"/>
              </font>
              <fill>
                <patternFill>
                  <bgColor rgb="FFFFC7CE"/>
                </patternFill>
              </fill>
            </x14:dxf>
          </x14:cfRule>
          <xm:sqref>E13:E22</xm:sqref>
        </x14:conditionalFormatting>
        <x14:conditionalFormatting xmlns:xm="http://schemas.microsoft.com/office/excel/2006/main">
          <x14:cfRule type="expression" priority="4136" id="{25C75F67-6097-4F34-B801-F83EDEB03CBF}">
            <xm:f>'TC1'!$B10="HANGUP"</xm:f>
            <x14:dxf>
              <font>
                <b/>
                <i val="0"/>
              </font>
            </x14:dxf>
          </x14:cfRule>
          <x14:cfRule type="expression" priority="4137" id="{A124E7C2-8619-4509-A83E-B3E124C116FE}">
            <xm:f>'TC1'!$B10="Dial"</xm:f>
            <x14:dxf>
              <font>
                <b/>
                <i val="0"/>
                <color rgb="FFFF0000"/>
              </font>
            </x14:dxf>
          </x14:cfRule>
          <xm:sqref>C9:C11</xm:sqref>
        </x14:conditionalFormatting>
        <x14:conditionalFormatting xmlns:xm="http://schemas.microsoft.com/office/excel/2006/main">
          <x14:cfRule type="expression" priority="4139" id="{05F30A76-0696-43FD-B476-FAC12FF272C9}">
            <xm:f>'TC1'!$B10="Speak"</xm:f>
            <x14:dxf>
              <font>
                <b/>
                <i val="0"/>
                <color rgb="FFFF0000"/>
              </font>
            </x14:dxf>
          </x14:cfRule>
          <xm:sqref>C9:C11</xm:sqref>
        </x14:conditionalFormatting>
        <x14:conditionalFormatting xmlns:xm="http://schemas.microsoft.com/office/excel/2006/main">
          <x14:cfRule type="expression" priority="13" id="{BB9012F6-E461-46E4-8613-1CC45A6E3A1C}">
            <xm:f>'TC1'!#REF!="HANGUP"</xm:f>
            <x14:dxf>
              <font>
                <b/>
                <i val="0"/>
              </font>
            </x14:dxf>
          </x14:cfRule>
          <x14:cfRule type="expression" priority="14" id="{43438C78-638F-4D65-9283-66B61DA81E39}">
            <xm:f>'TC1'!#REF!="Dial"</xm:f>
            <x14:dxf>
              <font>
                <b/>
                <i val="0"/>
                <color rgb="FFFF0000"/>
              </font>
            </x14:dxf>
          </x14:cfRule>
          <xm:sqref>C20</xm:sqref>
        </x14:conditionalFormatting>
        <x14:conditionalFormatting xmlns:xm="http://schemas.microsoft.com/office/excel/2006/main">
          <x14:cfRule type="expression" priority="15" id="{2D4802AF-A6F8-439F-841D-8CFF3198D02B}">
            <xm:f>'TC1'!#REF!="Speak"</xm:f>
            <x14:dxf>
              <font>
                <b/>
                <i val="0"/>
                <color rgb="FFFF0000"/>
              </font>
            </x14:dxf>
          </x14:cfRule>
          <xm:sqref>C20</xm:sqref>
        </x14:conditionalFormatting>
        <x14:conditionalFormatting xmlns:xm="http://schemas.microsoft.com/office/excel/2006/main">
          <x14:cfRule type="expression" priority="10" id="{20B93B32-5EFA-4B6F-89ED-973E752EC8CB}">
            <xm:f>'TC1'!#REF!="HANGUP"</xm:f>
            <x14:dxf>
              <font>
                <b/>
                <i val="0"/>
              </font>
            </x14:dxf>
          </x14:cfRule>
          <x14:cfRule type="expression" priority="11" id="{2845A0BB-9C57-4665-893D-EDAB3DB7232C}">
            <xm:f>'TC1'!#REF!="Dial"</xm:f>
            <x14:dxf>
              <font>
                <b/>
                <i val="0"/>
                <color rgb="FFFF0000"/>
              </font>
            </x14:dxf>
          </x14:cfRule>
          <xm:sqref>C12</xm:sqref>
        </x14:conditionalFormatting>
        <x14:conditionalFormatting xmlns:xm="http://schemas.microsoft.com/office/excel/2006/main">
          <x14:cfRule type="expression" priority="12" id="{C919D482-7C03-46D0-9A86-0AC8FFFE08AF}">
            <xm:f>'TC1'!#REF!="Speak"</xm:f>
            <x14:dxf>
              <font>
                <b/>
                <i val="0"/>
                <color rgb="FFFF0000"/>
              </font>
            </x14:dxf>
          </x14:cfRule>
          <xm:sqref>C12</xm:sqref>
        </x14:conditionalFormatting>
        <x14:conditionalFormatting xmlns:xm="http://schemas.microsoft.com/office/excel/2006/main">
          <x14:cfRule type="expression" priority="7" id="{BC2CA504-E3FE-41FE-BFC2-D179109E15C3}">
            <xm:f>'TC1'!#REF!="HANGUP"</xm:f>
            <x14:dxf>
              <font>
                <b/>
                <i val="0"/>
              </font>
            </x14:dxf>
          </x14:cfRule>
          <x14:cfRule type="expression" priority="8" id="{7A563525-2796-46F9-B3FD-879EE49F2AFA}">
            <xm:f>'TC1'!#REF!="Dial"</xm:f>
            <x14:dxf>
              <font>
                <b/>
                <i val="0"/>
                <color rgb="FFFF0000"/>
              </font>
            </x14:dxf>
          </x14:cfRule>
          <xm:sqref>C14</xm:sqref>
        </x14:conditionalFormatting>
        <x14:conditionalFormatting xmlns:xm="http://schemas.microsoft.com/office/excel/2006/main">
          <x14:cfRule type="expression" priority="9" id="{1743C8CE-C25D-479E-9690-39875106544A}">
            <xm:f>'TC1'!#REF!="Speak"</xm:f>
            <x14:dxf>
              <font>
                <b/>
                <i val="0"/>
                <color rgb="FFFF0000"/>
              </font>
            </x14:dxf>
          </x14:cfRule>
          <xm:sqref>C14</xm:sqref>
        </x14:conditionalFormatting>
        <x14:conditionalFormatting xmlns:xm="http://schemas.microsoft.com/office/excel/2006/main">
          <x14:cfRule type="expression" priority="1" id="{535F6E66-CEF7-47CA-BDB6-ED3559EE7449}">
            <xm:f>'TC1'!#REF!="HANGUP"</xm:f>
            <x14:dxf>
              <font>
                <b/>
                <i val="0"/>
              </font>
            </x14:dxf>
          </x14:cfRule>
          <x14:cfRule type="expression" priority="2" id="{57CCF970-380C-4FA2-AFF7-3709DF64789D}">
            <xm:f>'TC1'!#REF!="Dial"</xm:f>
            <x14:dxf>
              <font>
                <b/>
                <i val="0"/>
                <color rgb="FFFF0000"/>
              </font>
            </x14:dxf>
          </x14:cfRule>
          <xm:sqref>C18</xm:sqref>
        </x14:conditionalFormatting>
        <x14:conditionalFormatting xmlns:xm="http://schemas.microsoft.com/office/excel/2006/main">
          <x14:cfRule type="expression" priority="4" id="{C44AB456-2189-47E1-A830-21B5551D3B58}">
            <xm:f>'TC1'!#REF!="HANGUP"</xm:f>
            <x14:dxf>
              <font>
                <b/>
                <i val="0"/>
              </font>
            </x14:dxf>
          </x14:cfRule>
          <x14:cfRule type="expression" priority="5" id="{49922669-EC64-4A94-AB40-01B939FE2725}">
            <xm:f>'TC1'!#REF!="Dial"</xm:f>
            <x14:dxf>
              <font>
                <b/>
                <i val="0"/>
                <color rgb="FFFF0000"/>
              </font>
            </x14:dxf>
          </x14:cfRule>
          <xm:sqref>C16</xm:sqref>
        </x14:conditionalFormatting>
        <x14:conditionalFormatting xmlns:xm="http://schemas.microsoft.com/office/excel/2006/main">
          <x14:cfRule type="expression" priority="6" id="{6525E6A2-5106-4793-B2AA-FBEDBDB9E794}">
            <xm:f>'TC1'!#REF!="Speak"</xm:f>
            <x14:dxf>
              <font>
                <b/>
                <i val="0"/>
                <color rgb="FFFF0000"/>
              </font>
            </x14:dxf>
          </x14:cfRule>
          <xm:sqref>C16</xm:sqref>
        </x14:conditionalFormatting>
        <x14:conditionalFormatting xmlns:xm="http://schemas.microsoft.com/office/excel/2006/main">
          <x14:cfRule type="expression" priority="3" id="{977C2830-2B19-4715-9795-B3B21BEE328E}">
            <xm:f>'TC1'!#REF!="Speak"</xm:f>
            <x14:dxf>
              <font>
                <b/>
                <i val="0"/>
                <color rgb="FFFF0000"/>
              </font>
            </x14:dxf>
          </x14:cfRule>
          <xm:sqref>C18</xm:sqref>
        </x14:conditionalFormatting>
      </x14:conditionalFormattings>
    </ext>
  </extLst>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codeName="Sheet98"/>
  <dimension ref="A1:E40"/>
  <sheetViews>
    <sheetView zoomScaleNormal="100" workbookViewId="0">
      <selection activeCell="B23" sqref="B23"/>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TC96</v>
      </c>
    </row>
    <row r="3" spans="1:5">
      <c r="A3" s="100" t="s">
        <v>19</v>
      </c>
      <c r="B3" s="108">
        <f ca="1">VLOOKUP(B2,Table53[#All],2,FALSE)</f>
        <v>0</v>
      </c>
    </row>
    <row r="4" spans="1:5" ht="45">
      <c r="A4" s="109" t="s">
        <v>20</v>
      </c>
      <c r="B4" s="95" t="str">
        <f ca="1">VLOOKUP(B2,Table53[#All],4,FALSE)</f>
        <v>svcArea=titleSvcs, serviceType=chgOwnership, Not in progress or complete &lt;90days. 325-V-DF-X</v>
      </c>
      <c r="C4" s="94" t="s">
        <v>254</v>
      </c>
    </row>
    <row r="5" spans="1:5" ht="45">
      <c r="A5" s="100" t="s">
        <v>6</v>
      </c>
      <c r="B5" s="75" t="str">
        <f ca="1">VLOOKUP(B2,Table53[#All],3,FALSE)</f>
        <v xml:space="preserve">CallStart Main Menu /Title /Ownership changes/ID Auth=True/ transfer owner at ChangeMenu/HU after hearing peg 0330 </v>
      </c>
    </row>
    <row r="7" spans="1:5" ht="15.75">
      <c r="A7" s="96" t="s">
        <v>7</v>
      </c>
      <c r="B7" s="97" t="s">
        <v>8</v>
      </c>
      <c r="C7" s="98" t="s">
        <v>9</v>
      </c>
      <c r="D7" s="98" t="s">
        <v>14</v>
      </c>
      <c r="E7" s="99" t="s">
        <v>10</v>
      </c>
    </row>
    <row r="8" spans="1:5">
      <c r="A8" s="114">
        <v>1</v>
      </c>
      <c r="B8" s="110" t="s">
        <v>114</v>
      </c>
      <c r="C8" s="105" t="s">
        <v>125</v>
      </c>
      <c r="D8" s="125"/>
      <c r="E8" s="122" t="s">
        <v>11</v>
      </c>
    </row>
    <row r="9" spans="1:5" s="93" customFormat="1">
      <c r="A9" s="114">
        <v>2</v>
      </c>
      <c r="B9" s="110" t="s">
        <v>115</v>
      </c>
      <c r="C9" s="105" t="str">
        <f>VLOOKUP(Table25751986[[#This Row],[PEG]],Table1016[#All],2,FALSE)</f>
        <v>CallID.wav Call ID &lt;CallID&gt;</v>
      </c>
      <c r="D9" s="152" t="s">
        <v>477</v>
      </c>
      <c r="E9" s="122" t="str">
        <f>VLOOKUP(Table25751986[[#This Row],[PEG]],Table1016[#All],3,FALSE)</f>
        <v>TEST</v>
      </c>
    </row>
    <row r="10" spans="1:5" s="93" customFormat="1" ht="30">
      <c r="A10" s="114">
        <v>3</v>
      </c>
      <c r="B10" s="110" t="s">
        <v>115</v>
      </c>
      <c r="C10" s="105" t="str">
        <f>VLOOKUP(Table25751986[[#This Row],[PEG]],Table1016[#All],2,FALSE)</f>
        <v>0100.wav Thank you for calling Shell vacations Club, we are glad you called. Please have your account number available for faster service. [To continue in Spanish, press 9]</v>
      </c>
      <c r="D10" s="152">
        <v>100</v>
      </c>
      <c r="E10" s="122" t="str">
        <f>VLOOKUP(Table25751986[[#This Row],[PEG]],Table1016[#All],3,FALSE)</f>
        <v>PLAY PROMPT</v>
      </c>
    </row>
    <row r="11" spans="1:5" s="93" customFormat="1" ht="30">
      <c r="A11" s="114">
        <v>4</v>
      </c>
      <c r="B11" s="110" t="s">
        <v>115</v>
      </c>
      <c r="C11" s="105" t="str">
        <f>VLOOKUP(Table25751986[[#This Row],[PEG]],Table1016[#All],2,FALSE)</f>
        <v>0110-1.wav Which would you like? You can say... reservations, payments &amp; statements, title &amp; ownership changes, or more options.</v>
      </c>
      <c r="D11" s="152">
        <v>110</v>
      </c>
      <c r="E11" s="122" t="str">
        <f>VLOOKUP(Table25751986[[#This Row],[PEG]],Table1016[#All],3,FALSE)</f>
        <v>MENU PROMPT</v>
      </c>
    </row>
    <row r="12" spans="1:5" s="93" customFormat="1">
      <c r="A12" s="114">
        <v>5</v>
      </c>
      <c r="B12" s="110" t="s">
        <v>124</v>
      </c>
      <c r="C12" s="151" t="s">
        <v>486</v>
      </c>
      <c r="D12" s="152"/>
      <c r="E12" s="122" t="e">
        <f>VLOOKUP(Table25751986[[#This Row],[PEG]],Table1016[#All],3,FALSE)</f>
        <v>#N/A</v>
      </c>
    </row>
    <row r="13" spans="1:5" s="93" customFormat="1" ht="30">
      <c r="A13" s="114">
        <v>6</v>
      </c>
      <c r="B13" s="110" t="s">
        <v>115</v>
      </c>
      <c r="C13" s="105" t="str">
        <f>VLOOKUP(Table25751986[[#This Row],[PEG]],Table1016[#All],2,FALSE)</f>
        <v>0300-1.wav You can say ownership changes, check status, make a payment, or help me with something else. Which would you like?</v>
      </c>
      <c r="D13" s="152">
        <v>300</v>
      </c>
      <c r="E13" s="122" t="str">
        <f>VLOOKUP(Table25751986[[#This Row],[PEG]],Table1016[#All],3,FALSE)</f>
        <v>MENU PROMPT</v>
      </c>
    </row>
    <row r="14" spans="1:5" s="93" customFormat="1">
      <c r="A14" s="114">
        <v>7</v>
      </c>
      <c r="B14" s="110" t="s">
        <v>124</v>
      </c>
      <c r="C14" s="151" t="s">
        <v>527</v>
      </c>
      <c r="D14" s="125"/>
      <c r="E14" s="122" t="e">
        <f>VLOOKUP(Table25751986[[#This Row],[PEG]],Table1016[#All],3,FALSE)</f>
        <v>#N/A</v>
      </c>
    </row>
    <row r="15" spans="1:5">
      <c r="A15" s="114">
        <v>8</v>
      </c>
      <c r="B15" s="110" t="s">
        <v>115</v>
      </c>
      <c r="C15" s="105" t="str">
        <f>VLOOKUP(Table25751986[[#This Row],[PEG]],Table1016[#All],2,FALSE)</f>
        <v>0200-1.wav To get started, what is your account number?</v>
      </c>
      <c r="D15" s="153">
        <v>200</v>
      </c>
      <c r="E15" s="122" t="str">
        <f>VLOOKUP(Table25751986[[#This Row],[PEG]],Table1016[#All],3,FALSE)</f>
        <v>MENU PROMPT</v>
      </c>
    </row>
    <row r="16" spans="1:5">
      <c r="A16" s="114">
        <v>9</v>
      </c>
      <c r="B16" s="110" t="s">
        <v>114</v>
      </c>
      <c r="C16" s="151" t="s">
        <v>515</v>
      </c>
      <c r="D16" s="112"/>
      <c r="E16" s="122" t="e">
        <f>VLOOKUP(Table25751986[[#This Row],[PEG]],Table1016[#All],3,FALSE)</f>
        <v>#N/A</v>
      </c>
    </row>
    <row r="17" spans="1:5">
      <c r="A17" s="114">
        <v>10</v>
      </c>
      <c r="B17" s="110" t="s">
        <v>115</v>
      </c>
      <c r="C17" s="105" t="str">
        <f>VLOOKUP(Table25751986[[#This Row],[PEG]],Table1016[#All],2,FALSE)</f>
        <v>0210-1.wav And the date of birth for the primary owner?</v>
      </c>
      <c r="D17" s="154">
        <v>210</v>
      </c>
      <c r="E17" s="122" t="str">
        <f>VLOOKUP(Table25751986[[#This Row],[PEG]],Table1016[#All],3,FALSE)</f>
        <v>MENU PROMPT</v>
      </c>
    </row>
    <row r="18" spans="1:5">
      <c r="A18" s="114">
        <v>11</v>
      </c>
      <c r="B18" s="110" t="s">
        <v>124</v>
      </c>
      <c r="C18" s="151" t="s">
        <v>524</v>
      </c>
      <c r="D18" s="113"/>
      <c r="E18" s="122" t="e">
        <f>VLOOKUP(Table25751986[[#This Row],[PEG]],Table1016[#All],3,FALSE)</f>
        <v>#N/A</v>
      </c>
    </row>
    <row r="19" spans="1:5" ht="45">
      <c r="A19" s="114">
        <v>12</v>
      </c>
      <c r="B19" s="110" t="s">
        <v>115</v>
      </c>
      <c r="C19" s="105" t="str">
        <f>VLOOKUP(Table25751986[[#This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54">
        <v>320</v>
      </c>
      <c r="E19" s="122" t="str">
        <f>VLOOKUP(Table25751986[[#This Row],[PEG]],Table1016[#All],3,FALSE)</f>
        <v>MENU PROMPT</v>
      </c>
    </row>
    <row r="20" spans="1:5">
      <c r="A20" s="114">
        <v>13</v>
      </c>
      <c r="B20" s="110" t="s">
        <v>124</v>
      </c>
      <c r="C20" s="151" t="s">
        <v>560</v>
      </c>
      <c r="D20" s="113"/>
      <c r="E20" s="122" t="e">
        <f>VLOOKUP(Table25751986[[#This Row],[PEG]],Table1016[#All],3,FALSE)</f>
        <v>#N/A</v>
      </c>
    </row>
    <row r="21" spans="1:5" ht="75">
      <c r="A21" s="114">
        <v>14</v>
      </c>
      <c r="B21" s="110" t="s">
        <v>115</v>
      </c>
      <c r="C21" s="105" t="str">
        <f>VLOOKUP(Table25751986[[#This Row],[PEG]],Table1016[#All],2,FALSE)</f>
        <v>Wyndham requires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Ownership Change.</v>
      </c>
      <c r="D21" s="94" t="s">
        <v>254</v>
      </c>
      <c r="E21" s="122" t="str">
        <f>VLOOKUP(Table25751986[[#This Row],[PEG]],Table1016[#All],3,FALSE)</f>
        <v>PLAY PROMPT</v>
      </c>
    </row>
    <row r="22" spans="1:5" ht="30">
      <c r="A22" s="114">
        <v>15</v>
      </c>
      <c r="B22" s="110" t="s">
        <v>115</v>
      </c>
      <c r="C22" s="105" t="str">
        <f>VLOOKUP(Table25751986[[#This Row],[PEG]],Table1016[#All],2,FALSE)</f>
        <v>0330-1.wav To hear this information again, say repeat that. If you would like me to send you a letter with instructions to start the process, say information letter.</v>
      </c>
      <c r="D22" s="154">
        <v>330</v>
      </c>
      <c r="E22" s="122" t="str">
        <f>VLOOKUP(Table25751986[[#This Row],[PEG]],Table1016[#All],3,FALSE)</f>
        <v>MENU PROMPT</v>
      </c>
    </row>
    <row r="23" spans="1:5">
      <c r="A23" s="114">
        <v>16</v>
      </c>
      <c r="B23" s="110" t="s">
        <v>13</v>
      </c>
      <c r="C23" s="17" t="s">
        <v>13</v>
      </c>
      <c r="D23" s="111"/>
      <c r="E23" s="31"/>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6"/>
    </row>
    <row r="39" spans="3:3">
      <c r="C39" s="26"/>
    </row>
    <row r="40" spans="3:3">
      <c r="C40" s="26"/>
    </row>
  </sheetData>
  <mergeCells count="1">
    <mergeCell ref="A1:B1"/>
  </mergeCells>
  <conditionalFormatting sqref="C24:C9979">
    <cfRule type="expression" dxfId="3322" priority="64">
      <formula>$B24="Dial"</formula>
    </cfRule>
    <cfRule type="expression" dxfId="3321" priority="66">
      <formula>$B24="HANGUP"</formula>
    </cfRule>
  </conditionalFormatting>
  <conditionalFormatting sqref="B23">
    <cfRule type="containsText" dxfId="3320" priority="19" operator="containsText" text="Hear">
      <formula>NOT(ISERROR(SEARCH("Hear",B23)))</formula>
    </cfRule>
  </conditionalFormatting>
  <conditionalFormatting sqref="E23">
    <cfRule type="containsText" dxfId="3319" priority="27" operator="containsText" text="WEB SERVICE">
      <formula>NOT(ISERROR(SEARCH("WEB SERVICE",E23)))</formula>
    </cfRule>
    <cfRule type="containsText" dxfId="3318" priority="28" operator="containsText" text="DB">
      <formula>NOT(ISERROR(SEARCH("DB",E23)))</formula>
    </cfRule>
  </conditionalFormatting>
  <conditionalFormatting sqref="C23">
    <cfRule type="expression" dxfId="3317" priority="30">
      <formula>$B23="Dial"</formula>
    </cfRule>
    <cfRule type="expression" dxfId="3316" priority="32">
      <formula>$B23="HANGUP"</formula>
    </cfRule>
  </conditionalFormatting>
  <conditionalFormatting sqref="C23">
    <cfRule type="expression" dxfId="3315" priority="31">
      <formula>$B23="Speak"</formula>
    </cfRule>
  </conditionalFormatting>
  <conditionalFormatting sqref="B8">
    <cfRule type="containsText" dxfId="3314" priority="16" operator="containsText" text="Hear">
      <formula>NOT(ISERROR(SEARCH("Hear",B8)))</formula>
    </cfRule>
  </conditionalFormatting>
  <conditionalFormatting sqref="B20:B22">
    <cfRule type="containsText" dxfId="3313" priority="15" operator="containsText" text="Hear">
      <formula>NOT(ISERROR(SEARCH("Hear",B20)))</formula>
    </cfRule>
  </conditionalFormatting>
  <conditionalFormatting sqref="B18:B19">
    <cfRule type="containsText" dxfId="3312" priority="14" operator="containsText" text="Hear">
      <formula>NOT(ISERROR(SEARCH("Hear",B18)))</formula>
    </cfRule>
  </conditionalFormatting>
  <conditionalFormatting sqref="B9:B17">
    <cfRule type="containsText" dxfId="3311" priority="13" operator="containsText" text="Hear">
      <formula>NOT(ISERROR(SEARCH("Hear",B9)))</formula>
    </cfRule>
  </conditionalFormatting>
  <hyperlinks>
    <hyperlink ref="A1" location="'Test Case Overview'!A1" display="Return to Test Case Overview" xr:uid="{00000000-0004-0000-6000-000000000000}"/>
  </hyperlink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3" id="{FA6476B7-3BF4-4A2C-AA82-0A67E3E9AC5F}">
            <xm:f>'TC1'!$B8="HANGUP"</xm:f>
            <x14:dxf>
              <font>
                <b/>
                <i val="0"/>
              </font>
            </x14:dxf>
          </x14:cfRule>
          <x14:cfRule type="expression" priority="24" id="{AD36C68B-02CB-48A2-9B54-E1D64CBFBD7A}">
            <xm:f>'TC1'!$B8="Dial"</xm:f>
            <x14:dxf>
              <font>
                <b/>
                <i val="0"/>
                <color rgb="FFFF0000"/>
              </font>
            </x14:dxf>
          </x14:cfRule>
          <xm:sqref>C8</xm:sqref>
        </x14:conditionalFormatting>
        <x14:conditionalFormatting xmlns:xm="http://schemas.microsoft.com/office/excel/2006/main">
          <x14:cfRule type="expression" priority="25" id="{BA6FA1FA-8B51-44F6-9691-CFA93BD2E42D}">
            <xm:f>'TC1'!$B8="Speak"</xm:f>
            <x14:dxf>
              <font>
                <b/>
                <i val="0"/>
                <color rgb="FFFF0000"/>
              </font>
            </x14:dxf>
          </x14:cfRule>
          <xm:sqref>C8</xm:sqref>
        </x14:conditionalFormatting>
        <x14:conditionalFormatting xmlns:xm="http://schemas.microsoft.com/office/excel/2006/main">
          <x14:cfRule type="containsText" priority="22" operator="containsText" text="DB" id="{8FD3144F-59A2-401E-856C-8D63BDB4E300}">
            <xm:f>NOT(ISERROR(SEARCH("DB",'TC1'!E10)))</xm:f>
            <x14:dxf>
              <font>
                <color rgb="FF006100"/>
              </font>
              <fill>
                <patternFill>
                  <bgColor rgb="FFC6EFCE"/>
                </patternFill>
              </fill>
            </x14:dxf>
          </x14:cfRule>
          <x14:cfRule type="containsText" priority="26" operator="containsText" text="WEB SERVICE" id="{AB7D3479-CBBA-4D73-AFE1-BF3F41304187}">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2203" id="{FA6476B7-3BF4-4A2C-AA82-0A67E3E9AC5F}">
            <xm:f>'TC1'!#REF!="HANGUP"</xm:f>
            <x14:dxf>
              <font>
                <b/>
                <i val="0"/>
              </font>
            </x14:dxf>
          </x14:cfRule>
          <x14:cfRule type="expression" priority="2204" id="{AD36C68B-02CB-48A2-9B54-E1D64CBFBD7A}">
            <xm:f>'TC1'!#REF!="Dial"</xm:f>
            <x14:dxf>
              <font>
                <b/>
                <i val="0"/>
                <color rgb="FFFF0000"/>
              </font>
            </x14:dxf>
          </x14:cfRule>
          <xm:sqref>C13 C15 C17 C19:C22</xm:sqref>
        </x14:conditionalFormatting>
        <x14:conditionalFormatting xmlns:xm="http://schemas.microsoft.com/office/excel/2006/main">
          <x14:cfRule type="expression" priority="2209" id="{BA6FA1FA-8B51-44F6-9691-CFA93BD2E42D}">
            <xm:f>'TC1'!#REF!="Speak"</xm:f>
            <x14:dxf>
              <font>
                <b/>
                <i val="0"/>
                <color rgb="FFFF0000"/>
              </font>
            </x14:dxf>
          </x14:cfRule>
          <xm:sqref>C13 C15 C17 C19:C22</xm:sqref>
        </x14:conditionalFormatting>
        <x14:conditionalFormatting xmlns:xm="http://schemas.microsoft.com/office/excel/2006/main">
          <x14:cfRule type="containsText" priority="2215" operator="containsText" text="DB" id="{8FD3144F-59A2-401E-856C-8D63BDB4E300}">
            <xm:f>NOT(ISERROR(SEARCH("DB",'TC1'!#REF!)))</xm:f>
            <x14:dxf>
              <font>
                <color rgb="FF006100"/>
              </font>
              <fill>
                <patternFill>
                  <bgColor rgb="FFC6EFCE"/>
                </patternFill>
              </fill>
            </x14:dxf>
          </x14:cfRule>
          <x14:cfRule type="containsText" priority="2216" operator="containsText" text="WEB SERVICE" id="{AB7D3479-CBBA-4D73-AFE1-BF3F41304187}">
            <xm:f>NOT(ISERROR(SEARCH("WEB SERVICE",'TC1'!#REF!)))</xm:f>
            <x14:dxf>
              <font>
                <color rgb="FF9C0006"/>
              </font>
              <fill>
                <patternFill>
                  <bgColor rgb="FFFFC7CE"/>
                </patternFill>
              </fill>
            </x14:dxf>
          </x14:cfRule>
          <xm:sqref>E13:E22</xm:sqref>
        </x14:conditionalFormatting>
        <x14:conditionalFormatting xmlns:xm="http://schemas.microsoft.com/office/excel/2006/main">
          <x14:cfRule type="expression" priority="4141" id="{FA6476B7-3BF4-4A2C-AA82-0A67E3E9AC5F}">
            <xm:f>'TC1'!$B10="HANGUP"</xm:f>
            <x14:dxf>
              <font>
                <b/>
                <i val="0"/>
              </font>
            </x14:dxf>
          </x14:cfRule>
          <x14:cfRule type="expression" priority="4142" id="{AD36C68B-02CB-48A2-9B54-E1D64CBFBD7A}">
            <xm:f>'TC1'!$B10="Dial"</xm:f>
            <x14:dxf>
              <font>
                <b/>
                <i val="0"/>
                <color rgb="FFFF0000"/>
              </font>
            </x14:dxf>
          </x14:cfRule>
          <xm:sqref>C9:C11</xm:sqref>
        </x14:conditionalFormatting>
        <x14:conditionalFormatting xmlns:xm="http://schemas.microsoft.com/office/excel/2006/main">
          <x14:cfRule type="expression" priority="4144" id="{BA6FA1FA-8B51-44F6-9691-CFA93BD2E42D}">
            <xm:f>'TC1'!$B10="Speak"</xm:f>
            <x14:dxf>
              <font>
                <b/>
                <i val="0"/>
                <color rgb="FFFF0000"/>
              </font>
            </x14:dxf>
          </x14:cfRule>
          <xm:sqref>C9:C11</xm:sqref>
        </x14:conditionalFormatting>
        <x14:conditionalFormatting xmlns:xm="http://schemas.microsoft.com/office/excel/2006/main">
          <x14:cfRule type="expression" priority="10" id="{8FA818F5-B52D-4A2D-BCED-8EBD42FEF1F2}">
            <xm:f>'TC1'!#REF!="HANGUP"</xm:f>
            <x14:dxf>
              <font>
                <b/>
                <i val="0"/>
              </font>
            </x14:dxf>
          </x14:cfRule>
          <x14:cfRule type="expression" priority="11" id="{AB9EA1E6-C44D-4C53-B03F-EF218B74D6D9}">
            <xm:f>'TC1'!#REF!="Dial"</xm:f>
            <x14:dxf>
              <font>
                <b/>
                <i val="0"/>
                <color rgb="FFFF0000"/>
              </font>
            </x14:dxf>
          </x14:cfRule>
          <xm:sqref>C12</xm:sqref>
        </x14:conditionalFormatting>
        <x14:conditionalFormatting xmlns:xm="http://schemas.microsoft.com/office/excel/2006/main">
          <x14:cfRule type="expression" priority="12" id="{A7537630-97D8-4FD3-A938-44E5B253519C}">
            <xm:f>'TC1'!#REF!="Speak"</xm:f>
            <x14:dxf>
              <font>
                <b/>
                <i val="0"/>
                <color rgb="FFFF0000"/>
              </font>
            </x14:dxf>
          </x14:cfRule>
          <xm:sqref>C12</xm:sqref>
        </x14:conditionalFormatting>
        <x14:conditionalFormatting xmlns:xm="http://schemas.microsoft.com/office/excel/2006/main">
          <x14:cfRule type="expression" priority="7" id="{09E975DE-04A0-4A06-8F63-28424CA1425D}">
            <xm:f>'TC1'!#REF!="HANGUP"</xm:f>
            <x14:dxf>
              <font>
                <b/>
                <i val="0"/>
              </font>
            </x14:dxf>
          </x14:cfRule>
          <x14:cfRule type="expression" priority="8" id="{EC0E334E-CE27-44EB-BB2C-81BCC8E52CCB}">
            <xm:f>'TC1'!#REF!="Dial"</xm:f>
            <x14:dxf>
              <font>
                <b/>
                <i val="0"/>
                <color rgb="FFFF0000"/>
              </font>
            </x14:dxf>
          </x14:cfRule>
          <xm:sqref>C14</xm:sqref>
        </x14:conditionalFormatting>
        <x14:conditionalFormatting xmlns:xm="http://schemas.microsoft.com/office/excel/2006/main">
          <x14:cfRule type="expression" priority="9" id="{FC4568F9-CC8B-44A4-A1B9-66648BD5E77E}">
            <xm:f>'TC1'!#REF!="Speak"</xm:f>
            <x14:dxf>
              <font>
                <b/>
                <i val="0"/>
                <color rgb="FFFF0000"/>
              </font>
            </x14:dxf>
          </x14:cfRule>
          <xm:sqref>C14</xm:sqref>
        </x14:conditionalFormatting>
        <x14:conditionalFormatting xmlns:xm="http://schemas.microsoft.com/office/excel/2006/main">
          <x14:cfRule type="expression" priority="4" id="{AB326429-CEE1-4DF8-B13A-F5D85DA6BB98}">
            <xm:f>'TC1'!#REF!="HANGUP"</xm:f>
            <x14:dxf>
              <font>
                <b/>
                <i val="0"/>
              </font>
            </x14:dxf>
          </x14:cfRule>
          <x14:cfRule type="expression" priority="5" id="{9BB15D25-BE8E-485B-AB9A-C4C3ADFCD71E}">
            <xm:f>'TC1'!#REF!="Dial"</xm:f>
            <x14:dxf>
              <font>
                <b/>
                <i val="0"/>
                <color rgb="FFFF0000"/>
              </font>
            </x14:dxf>
          </x14:cfRule>
          <xm:sqref>C16</xm:sqref>
        </x14:conditionalFormatting>
        <x14:conditionalFormatting xmlns:xm="http://schemas.microsoft.com/office/excel/2006/main">
          <x14:cfRule type="expression" priority="6" id="{CA5B9180-92D3-403B-A55C-D76E77F0F511}">
            <xm:f>'TC1'!#REF!="Speak"</xm:f>
            <x14:dxf>
              <font>
                <b/>
                <i val="0"/>
                <color rgb="FFFF0000"/>
              </font>
            </x14:dxf>
          </x14:cfRule>
          <xm:sqref>C16</xm:sqref>
        </x14:conditionalFormatting>
        <x14:conditionalFormatting xmlns:xm="http://schemas.microsoft.com/office/excel/2006/main">
          <x14:cfRule type="expression" priority="1" id="{C0C8C19C-455A-4458-9F5C-ACC08B3A55E5}">
            <xm:f>'TC1'!#REF!="HANGUP"</xm:f>
            <x14:dxf>
              <font>
                <b/>
                <i val="0"/>
              </font>
            </x14:dxf>
          </x14:cfRule>
          <x14:cfRule type="expression" priority="2" id="{1AAD1FCC-4210-4B09-8E67-72A8DCA87CFE}">
            <xm:f>'TC1'!#REF!="Dial"</xm:f>
            <x14:dxf>
              <font>
                <b/>
                <i val="0"/>
                <color rgb="FFFF0000"/>
              </font>
            </x14:dxf>
          </x14:cfRule>
          <xm:sqref>C18</xm:sqref>
        </x14:conditionalFormatting>
        <x14:conditionalFormatting xmlns:xm="http://schemas.microsoft.com/office/excel/2006/main">
          <x14:cfRule type="expression" priority="3" id="{A7685432-BBB4-487D-94BC-919668467D71}">
            <xm:f>'TC1'!#REF!="Speak"</xm:f>
            <x14:dxf>
              <font>
                <b/>
                <i val="0"/>
                <color rgb="FFFF0000"/>
              </font>
            </x14:dxf>
          </x14:cfRule>
          <xm:sqref>C18</xm:sqref>
        </x14:conditionalFormatting>
      </x14:conditionalFormattings>
    </ext>
  </extLst>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codeName="Sheet99"/>
  <dimension ref="A1:E37"/>
  <sheetViews>
    <sheetView zoomScaleNormal="100" workbookViewId="0">
      <selection activeCell="C20" sqref="C20"/>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TC97</v>
      </c>
    </row>
    <row r="3" spans="1:5">
      <c r="A3" s="100" t="s">
        <v>19</v>
      </c>
      <c r="B3" s="108">
        <f ca="1">VLOOKUP(B2,Table53[#All],2,FALSE)</f>
        <v>0</v>
      </c>
    </row>
    <row r="4" spans="1:5" ht="45">
      <c r="A4" s="109" t="s">
        <v>20</v>
      </c>
      <c r="B4" s="95" t="str">
        <f ca="1">VLOOKUP(B2,Table53[#All],4,FALSE)</f>
        <v>svcArea=titleSvcs, serviceType=chgOwner, Not in progress or complete &lt;90days. 325-W-ND-A</v>
      </c>
      <c r="C4" s="94" t="s">
        <v>255</v>
      </c>
    </row>
    <row r="5" spans="1:5" ht="28.9" customHeight="1">
      <c r="A5" s="100" t="s">
        <v>6</v>
      </c>
      <c r="B5" s="75" t="str">
        <f ca="1">VLOOKUP(B2,Table53[#All],3,FALSE)</f>
        <v>CallStart Main Menu /Title /Ownership changes/ID Auth=True/ add owner at ChangeMenu/HU after hearing peg 0330</v>
      </c>
    </row>
    <row r="7" spans="1:5" ht="15.75">
      <c r="A7" s="96" t="s">
        <v>7</v>
      </c>
      <c r="B7" s="97" t="s">
        <v>8</v>
      </c>
      <c r="C7" s="98" t="s">
        <v>9</v>
      </c>
      <c r="D7" s="98" t="s">
        <v>14</v>
      </c>
      <c r="E7" s="99" t="s">
        <v>10</v>
      </c>
    </row>
    <row r="8" spans="1:5">
      <c r="A8" s="114">
        <v>1</v>
      </c>
      <c r="B8" s="110" t="s">
        <v>114</v>
      </c>
      <c r="C8" s="105" t="s">
        <v>125</v>
      </c>
      <c r="D8" s="125"/>
      <c r="E8" s="122" t="s">
        <v>11</v>
      </c>
    </row>
    <row r="9" spans="1:5" s="93" customFormat="1">
      <c r="A9" s="114">
        <v>2</v>
      </c>
      <c r="B9" s="110" t="s">
        <v>115</v>
      </c>
      <c r="C9" s="105" t="str">
        <f>VLOOKUP(Table25751989[[#This Row],[PEG]],Table1016[#All],2,FALSE)</f>
        <v>CallID.wav Call ID &lt;CallID&gt;</v>
      </c>
      <c r="D9" s="152" t="s">
        <v>477</v>
      </c>
      <c r="E9" s="122" t="str">
        <f>VLOOKUP(Table25751989[[#This Row],[PEG]],Table1016[#All],3,FALSE)</f>
        <v>TEST</v>
      </c>
    </row>
    <row r="10" spans="1:5" s="93" customFormat="1" ht="30">
      <c r="A10" s="114">
        <v>3</v>
      </c>
      <c r="B10" s="110" t="s">
        <v>115</v>
      </c>
      <c r="C10" s="105" t="str">
        <f>VLOOKUP(Table25751989[[#This Row],[PEG]],Table1016[#All],2,FALSE)</f>
        <v>0100.wav Thank you for calling Shell vacations Club, we are glad you called. Please have your account number available for faster service. [To continue in Spanish, press 9]</v>
      </c>
      <c r="D10" s="152">
        <v>100</v>
      </c>
      <c r="E10" s="122" t="str">
        <f>VLOOKUP(Table25751989[[#This Row],[PEG]],Table1016[#All],3,FALSE)</f>
        <v>PLAY PROMPT</v>
      </c>
    </row>
    <row r="11" spans="1:5" s="93" customFormat="1" ht="30">
      <c r="A11" s="114">
        <v>4</v>
      </c>
      <c r="B11" s="110" t="s">
        <v>115</v>
      </c>
      <c r="C11" s="105" t="str">
        <f>VLOOKUP(Table25751989[[#This Row],[PEG]],Table1016[#All],2,FALSE)</f>
        <v>0110-1.wav Which would you like? You can say... reservations, payments &amp; statements, title &amp; ownership changes, or more options.</v>
      </c>
      <c r="D11" s="152">
        <v>110</v>
      </c>
      <c r="E11" s="122" t="str">
        <f>VLOOKUP(Table25751989[[#This Row],[PEG]],Table1016[#All],3,FALSE)</f>
        <v>MENU PROMPT</v>
      </c>
    </row>
    <row r="12" spans="1:5" s="93" customFormat="1">
      <c r="A12" s="114">
        <v>5</v>
      </c>
      <c r="B12" s="110" t="s">
        <v>124</v>
      </c>
      <c r="C12" s="151" t="s">
        <v>486</v>
      </c>
      <c r="D12" s="152"/>
      <c r="E12" s="122" t="e">
        <f>VLOOKUP(Table25751989[[#This Row],[PEG]],Table1016[#All],3,FALSE)</f>
        <v>#N/A</v>
      </c>
    </row>
    <row r="13" spans="1:5" s="93" customFormat="1" ht="30">
      <c r="A13" s="114">
        <v>6</v>
      </c>
      <c r="B13" s="110" t="s">
        <v>115</v>
      </c>
      <c r="C13" s="105" t="str">
        <f>VLOOKUP(Table25751989[[#This Row],[PEG]],Table1016[#All],2,FALSE)</f>
        <v>0300-1.wav You can say ownership changes, check status, make a payment, or help me with something else. Which would you like?</v>
      </c>
      <c r="D13" s="152">
        <v>300</v>
      </c>
      <c r="E13" s="122" t="str">
        <f>VLOOKUP(Table25751989[[#This Row],[PEG]],Table1016[#All],3,FALSE)</f>
        <v>MENU PROMPT</v>
      </c>
    </row>
    <row r="14" spans="1:5" s="93" customFormat="1">
      <c r="A14" s="114">
        <v>7</v>
      </c>
      <c r="B14" s="110" t="s">
        <v>124</v>
      </c>
      <c r="C14" s="151" t="s">
        <v>527</v>
      </c>
      <c r="D14" s="125"/>
      <c r="E14" s="122" t="e">
        <f>VLOOKUP(Table25751989[[#This Row],[PEG]],Table1016[#All],3,FALSE)</f>
        <v>#N/A</v>
      </c>
    </row>
    <row r="15" spans="1:5">
      <c r="A15" s="114">
        <v>8</v>
      </c>
      <c r="B15" s="110" t="s">
        <v>115</v>
      </c>
      <c r="C15" s="105" t="str">
        <f>VLOOKUP(Table25751989[[#This Row],[PEG]],Table1016[#All],2,FALSE)</f>
        <v>0200-1.wav To get started, what is your account number?</v>
      </c>
      <c r="D15" s="153">
        <v>200</v>
      </c>
      <c r="E15" s="122" t="str">
        <f>VLOOKUP(Table25751989[[#This Row],[PEG]],Table1016[#All],3,FALSE)</f>
        <v>MENU PROMPT</v>
      </c>
    </row>
    <row r="16" spans="1:5">
      <c r="A16" s="114">
        <v>9</v>
      </c>
      <c r="B16" s="110" t="s">
        <v>114</v>
      </c>
      <c r="C16" s="151" t="s">
        <v>515</v>
      </c>
      <c r="D16" s="112"/>
      <c r="E16" s="122" t="e">
        <f>VLOOKUP(Table25751989[[#This Row],[PEG]],Table1016[#All],3,FALSE)</f>
        <v>#N/A</v>
      </c>
    </row>
    <row r="17" spans="1:5">
      <c r="A17" s="114">
        <v>10</v>
      </c>
      <c r="B17" s="110" t="s">
        <v>115</v>
      </c>
      <c r="C17" s="105" t="str">
        <f>VLOOKUP(Table25751989[[#This Row],[PEG]],Table1016[#All],2,FALSE)</f>
        <v>0210-1.wav And the date of birth for the primary owner?</v>
      </c>
      <c r="D17" s="154">
        <v>210</v>
      </c>
      <c r="E17" s="122" t="str">
        <f>VLOOKUP(Table25751989[[#This Row],[PEG]],Table1016[#All],3,FALSE)</f>
        <v>MENU PROMPT</v>
      </c>
    </row>
    <row r="18" spans="1:5">
      <c r="A18" s="114">
        <v>11</v>
      </c>
      <c r="B18" s="110" t="s">
        <v>124</v>
      </c>
      <c r="C18" s="151" t="s">
        <v>524</v>
      </c>
      <c r="D18" s="113"/>
      <c r="E18" s="122" t="e">
        <f>VLOOKUP(Table25751989[[#This Row],[PEG]],Table1016[#All],3,FALSE)</f>
        <v>#N/A</v>
      </c>
    </row>
    <row r="19" spans="1:5" ht="45">
      <c r="A19" s="114">
        <v>12</v>
      </c>
      <c r="B19" s="110" t="s">
        <v>115</v>
      </c>
      <c r="C19" s="105" t="str">
        <f>VLOOKUP(Table25751989[[#This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54">
        <v>320</v>
      </c>
      <c r="E19" s="122" t="str">
        <f>VLOOKUP(Table25751989[[#This Row],[PEG]],Table1016[#All],3,FALSE)</f>
        <v>MENU PROMPT</v>
      </c>
    </row>
    <row r="20" spans="1:5">
      <c r="A20" s="114">
        <v>13</v>
      </c>
      <c r="B20" s="110" t="s">
        <v>124</v>
      </c>
      <c r="C20" s="151" t="s">
        <v>556</v>
      </c>
      <c r="D20" s="113"/>
      <c r="E20" s="122" t="e">
        <f>VLOOKUP(Table25751989[[#This Row],[PEG]],Table1016[#All],3,FALSE)</f>
        <v>#N/A</v>
      </c>
    </row>
    <row r="21" spans="1:5" ht="90">
      <c r="A21" s="114">
        <v>14</v>
      </c>
      <c r="B21" s="110" t="s">
        <v>115</v>
      </c>
      <c r="C21" s="105" t="str">
        <f>VLOOKUP(Table25751989[[#This Row],[PEG]],Table1016[#All],2,FALSE)</f>
        <v>Wyndham requires a $299 processing fee to update ownership. There is a maximum of two owners per account. In addition to the payment, a written request with each of the new owner's, first and last name, address, phone number, email address, date of birth, and copy of government issued ID must be submitted. Please send the information to 6277 Sea Harbor Drive, Orlando Florida 32821, attention, Worldmark Ownership Change. Once the information and fee is received, Wyndham will send transfer or add paperwork to be signed in front of a notary and returned.</v>
      </c>
      <c r="D21" s="94" t="s">
        <v>255</v>
      </c>
      <c r="E21" s="122" t="str">
        <f>VLOOKUP(Table25751989[[#This Row],[PEG]],Table1016[#All],3,FALSE)</f>
        <v>PLAY PROMPT</v>
      </c>
    </row>
    <row r="22" spans="1:5" ht="30">
      <c r="A22" s="114">
        <v>15</v>
      </c>
      <c r="B22" s="110" t="s">
        <v>115</v>
      </c>
      <c r="C22" s="105" t="str">
        <f>VLOOKUP(Table25751989[[#This Row],[PEG]],Table1016[#All],2,FALSE)</f>
        <v>0330-1.wav To hear this information again, say repeat that. If you would like me to send you a letter with instructions to start the process, say information letter.</v>
      </c>
      <c r="D22" s="154">
        <v>330</v>
      </c>
      <c r="E22" s="122" t="str">
        <f>VLOOKUP(Table25751989[[#This Row],[PEG]],Table1016[#All],3,FALSE)</f>
        <v>MENU PROMPT</v>
      </c>
    </row>
    <row r="23" spans="1:5">
      <c r="A23" s="114">
        <v>16</v>
      </c>
      <c r="B23" s="110" t="s">
        <v>13</v>
      </c>
      <c r="C23" s="17" t="s">
        <v>13</v>
      </c>
      <c r="D23" s="111"/>
      <c r="E23" s="31"/>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6"/>
    </row>
    <row r="36" spans="3:3">
      <c r="C36" s="26"/>
    </row>
    <row r="37" spans="3:3">
      <c r="C37" s="26"/>
    </row>
  </sheetData>
  <mergeCells count="1">
    <mergeCell ref="A1:B1"/>
  </mergeCells>
  <conditionalFormatting sqref="C24:C9976">
    <cfRule type="expression" dxfId="3276" priority="64">
      <formula>$B24="Dial"</formula>
    </cfRule>
    <cfRule type="expression" dxfId="3275" priority="66">
      <formula>$B24="HANGUP"</formula>
    </cfRule>
  </conditionalFormatting>
  <conditionalFormatting sqref="B23">
    <cfRule type="containsText" dxfId="3274" priority="19" operator="containsText" text="Hear">
      <formula>NOT(ISERROR(SEARCH("Hear",B23)))</formula>
    </cfRule>
  </conditionalFormatting>
  <conditionalFormatting sqref="E23">
    <cfRule type="containsText" dxfId="3273" priority="27" operator="containsText" text="WEB SERVICE">
      <formula>NOT(ISERROR(SEARCH("WEB SERVICE",E23)))</formula>
    </cfRule>
    <cfRule type="containsText" dxfId="3272" priority="28" operator="containsText" text="DB">
      <formula>NOT(ISERROR(SEARCH("DB",E23)))</formula>
    </cfRule>
  </conditionalFormatting>
  <conditionalFormatting sqref="C23">
    <cfRule type="expression" dxfId="3271" priority="30">
      <formula>$B23="Dial"</formula>
    </cfRule>
    <cfRule type="expression" dxfId="3270" priority="32">
      <formula>$B23="HANGUP"</formula>
    </cfRule>
  </conditionalFormatting>
  <conditionalFormatting sqref="C23">
    <cfRule type="expression" dxfId="3269" priority="31">
      <formula>$B23="Speak"</formula>
    </cfRule>
  </conditionalFormatting>
  <conditionalFormatting sqref="B8">
    <cfRule type="containsText" dxfId="3268" priority="16" operator="containsText" text="Hear">
      <formula>NOT(ISERROR(SEARCH("Hear",B8)))</formula>
    </cfRule>
  </conditionalFormatting>
  <conditionalFormatting sqref="B20:B22">
    <cfRule type="containsText" dxfId="3267" priority="15" operator="containsText" text="Hear">
      <formula>NOT(ISERROR(SEARCH("Hear",B20)))</formula>
    </cfRule>
  </conditionalFormatting>
  <conditionalFormatting sqref="B18:B19">
    <cfRule type="containsText" dxfId="3266" priority="14" operator="containsText" text="Hear">
      <formula>NOT(ISERROR(SEARCH("Hear",B18)))</formula>
    </cfRule>
  </conditionalFormatting>
  <conditionalFormatting sqref="B9:B17">
    <cfRule type="containsText" dxfId="3265" priority="13" operator="containsText" text="Hear">
      <formula>NOT(ISERROR(SEARCH("Hear",B9)))</formula>
    </cfRule>
  </conditionalFormatting>
  <hyperlinks>
    <hyperlink ref="A1" location="'Test Case Overview'!A1" display="Return to Test Case Overview" xr:uid="{00000000-0004-0000-61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3" id="{EF35C59F-6F23-4B16-90EE-872A29ADEAFC}">
            <xm:f>'TC1'!$B8="HANGUP"</xm:f>
            <x14:dxf>
              <font>
                <b/>
                <i val="0"/>
              </font>
            </x14:dxf>
          </x14:cfRule>
          <x14:cfRule type="expression" priority="24" id="{84ABBB8F-8CC9-4C97-B533-A1E9AB57ACF1}">
            <xm:f>'TC1'!$B8="Dial"</xm:f>
            <x14:dxf>
              <font>
                <b/>
                <i val="0"/>
                <color rgb="FFFF0000"/>
              </font>
            </x14:dxf>
          </x14:cfRule>
          <xm:sqref>C8</xm:sqref>
        </x14:conditionalFormatting>
        <x14:conditionalFormatting xmlns:xm="http://schemas.microsoft.com/office/excel/2006/main">
          <x14:cfRule type="expression" priority="25" id="{578A8AB2-1CE6-4AC5-B401-F6AF172BCE59}">
            <xm:f>'TC1'!$B8="Speak"</xm:f>
            <x14:dxf>
              <font>
                <b/>
                <i val="0"/>
                <color rgb="FFFF0000"/>
              </font>
            </x14:dxf>
          </x14:cfRule>
          <xm:sqref>C8</xm:sqref>
        </x14:conditionalFormatting>
        <x14:conditionalFormatting xmlns:xm="http://schemas.microsoft.com/office/excel/2006/main">
          <x14:cfRule type="containsText" priority="22" operator="containsText" text="DB" id="{A5C1E123-F27A-4D13-9BC9-8769C1229D2F}">
            <xm:f>NOT(ISERROR(SEARCH("DB",'TC1'!E10)))</xm:f>
            <x14:dxf>
              <font>
                <color rgb="FF006100"/>
              </font>
              <fill>
                <patternFill>
                  <bgColor rgb="FFC6EFCE"/>
                </patternFill>
              </fill>
            </x14:dxf>
          </x14:cfRule>
          <x14:cfRule type="containsText" priority="26" operator="containsText" text="WEB SERVICE" id="{50168F3A-F994-4FD7-8E22-1F30269B09FD}">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2223" id="{EF35C59F-6F23-4B16-90EE-872A29ADEAFC}">
            <xm:f>'TC1'!#REF!="HANGUP"</xm:f>
            <x14:dxf>
              <font>
                <b/>
                <i val="0"/>
              </font>
            </x14:dxf>
          </x14:cfRule>
          <x14:cfRule type="expression" priority="2224" id="{84ABBB8F-8CC9-4C97-B533-A1E9AB57ACF1}">
            <xm:f>'TC1'!#REF!="Dial"</xm:f>
            <x14:dxf>
              <font>
                <b/>
                <i val="0"/>
                <color rgb="FFFF0000"/>
              </font>
            </x14:dxf>
          </x14:cfRule>
          <xm:sqref>C13 C15 C17 C19:C22</xm:sqref>
        </x14:conditionalFormatting>
        <x14:conditionalFormatting xmlns:xm="http://schemas.microsoft.com/office/excel/2006/main">
          <x14:cfRule type="expression" priority="2229" id="{578A8AB2-1CE6-4AC5-B401-F6AF172BCE59}">
            <xm:f>'TC1'!#REF!="Speak"</xm:f>
            <x14:dxf>
              <font>
                <b/>
                <i val="0"/>
                <color rgb="FFFF0000"/>
              </font>
            </x14:dxf>
          </x14:cfRule>
          <xm:sqref>C13 C15 C17 C19:C22</xm:sqref>
        </x14:conditionalFormatting>
        <x14:conditionalFormatting xmlns:xm="http://schemas.microsoft.com/office/excel/2006/main">
          <x14:cfRule type="containsText" priority="2235" operator="containsText" text="DB" id="{A5C1E123-F27A-4D13-9BC9-8769C1229D2F}">
            <xm:f>NOT(ISERROR(SEARCH("DB",'TC1'!#REF!)))</xm:f>
            <x14:dxf>
              <font>
                <color rgb="FF006100"/>
              </font>
              <fill>
                <patternFill>
                  <bgColor rgb="FFC6EFCE"/>
                </patternFill>
              </fill>
            </x14:dxf>
          </x14:cfRule>
          <x14:cfRule type="containsText" priority="2236" operator="containsText" text="WEB SERVICE" id="{50168F3A-F994-4FD7-8E22-1F30269B09FD}">
            <xm:f>NOT(ISERROR(SEARCH("WEB SERVICE",'TC1'!#REF!)))</xm:f>
            <x14:dxf>
              <font>
                <color rgb="FF9C0006"/>
              </font>
              <fill>
                <patternFill>
                  <bgColor rgb="FFFFC7CE"/>
                </patternFill>
              </fill>
            </x14:dxf>
          </x14:cfRule>
          <xm:sqref>E13:E22</xm:sqref>
        </x14:conditionalFormatting>
        <x14:conditionalFormatting xmlns:xm="http://schemas.microsoft.com/office/excel/2006/main">
          <x14:cfRule type="expression" priority="4149" id="{EF35C59F-6F23-4B16-90EE-872A29ADEAFC}">
            <xm:f>'TC1'!$B10="HANGUP"</xm:f>
            <x14:dxf>
              <font>
                <b/>
                <i val="0"/>
              </font>
            </x14:dxf>
          </x14:cfRule>
          <x14:cfRule type="expression" priority="4150" id="{84ABBB8F-8CC9-4C97-B533-A1E9AB57ACF1}">
            <xm:f>'TC1'!$B10="Dial"</xm:f>
            <x14:dxf>
              <font>
                <b/>
                <i val="0"/>
                <color rgb="FFFF0000"/>
              </font>
            </x14:dxf>
          </x14:cfRule>
          <xm:sqref>C9:C11</xm:sqref>
        </x14:conditionalFormatting>
        <x14:conditionalFormatting xmlns:xm="http://schemas.microsoft.com/office/excel/2006/main">
          <x14:cfRule type="expression" priority="4152" id="{578A8AB2-1CE6-4AC5-B401-F6AF172BCE59}">
            <xm:f>'TC1'!$B10="Speak"</xm:f>
            <x14:dxf>
              <font>
                <b/>
                <i val="0"/>
                <color rgb="FFFF0000"/>
              </font>
            </x14:dxf>
          </x14:cfRule>
          <xm:sqref>C9:C11</xm:sqref>
        </x14:conditionalFormatting>
        <x14:conditionalFormatting xmlns:xm="http://schemas.microsoft.com/office/excel/2006/main">
          <x14:cfRule type="expression" priority="10" id="{7ED14E75-5464-4670-939C-1C1FD663AAF8}">
            <xm:f>'TC1'!#REF!="HANGUP"</xm:f>
            <x14:dxf>
              <font>
                <b/>
                <i val="0"/>
              </font>
            </x14:dxf>
          </x14:cfRule>
          <x14:cfRule type="expression" priority="11" id="{3C1C94CB-2A7D-4545-A506-E57F4CFEC9F7}">
            <xm:f>'TC1'!#REF!="Dial"</xm:f>
            <x14:dxf>
              <font>
                <b/>
                <i val="0"/>
                <color rgb="FFFF0000"/>
              </font>
            </x14:dxf>
          </x14:cfRule>
          <xm:sqref>C12</xm:sqref>
        </x14:conditionalFormatting>
        <x14:conditionalFormatting xmlns:xm="http://schemas.microsoft.com/office/excel/2006/main">
          <x14:cfRule type="expression" priority="12" id="{CBD8836B-1F97-4E26-B522-7599D2E80709}">
            <xm:f>'TC1'!#REF!="Speak"</xm:f>
            <x14:dxf>
              <font>
                <b/>
                <i val="0"/>
                <color rgb="FFFF0000"/>
              </font>
            </x14:dxf>
          </x14:cfRule>
          <xm:sqref>C12</xm:sqref>
        </x14:conditionalFormatting>
        <x14:conditionalFormatting xmlns:xm="http://schemas.microsoft.com/office/excel/2006/main">
          <x14:cfRule type="expression" priority="7" id="{1FD3490B-A5E4-444D-A6AF-C14A94FFE3F4}">
            <xm:f>'TC1'!#REF!="HANGUP"</xm:f>
            <x14:dxf>
              <font>
                <b/>
                <i val="0"/>
              </font>
            </x14:dxf>
          </x14:cfRule>
          <x14:cfRule type="expression" priority="8" id="{E8DFBDA0-8595-4320-8C2B-31E547300F81}">
            <xm:f>'TC1'!#REF!="Dial"</xm:f>
            <x14:dxf>
              <font>
                <b/>
                <i val="0"/>
                <color rgb="FFFF0000"/>
              </font>
            </x14:dxf>
          </x14:cfRule>
          <xm:sqref>C14</xm:sqref>
        </x14:conditionalFormatting>
        <x14:conditionalFormatting xmlns:xm="http://schemas.microsoft.com/office/excel/2006/main">
          <x14:cfRule type="expression" priority="9" id="{AAB35089-B0AA-4564-BC31-5524A786521F}">
            <xm:f>'TC1'!#REF!="Speak"</xm:f>
            <x14:dxf>
              <font>
                <b/>
                <i val="0"/>
                <color rgb="FFFF0000"/>
              </font>
            </x14:dxf>
          </x14:cfRule>
          <xm:sqref>C14</xm:sqref>
        </x14:conditionalFormatting>
        <x14:conditionalFormatting xmlns:xm="http://schemas.microsoft.com/office/excel/2006/main">
          <x14:cfRule type="expression" priority="4" id="{17AE10AF-E9B8-4C42-8A05-27DD348E8928}">
            <xm:f>'TC1'!#REF!="HANGUP"</xm:f>
            <x14:dxf>
              <font>
                <b/>
                <i val="0"/>
              </font>
            </x14:dxf>
          </x14:cfRule>
          <x14:cfRule type="expression" priority="5" id="{ECF5D0B9-BF62-438F-9000-3813DE9C77A7}">
            <xm:f>'TC1'!#REF!="Dial"</xm:f>
            <x14:dxf>
              <font>
                <b/>
                <i val="0"/>
                <color rgb="FFFF0000"/>
              </font>
            </x14:dxf>
          </x14:cfRule>
          <xm:sqref>C16</xm:sqref>
        </x14:conditionalFormatting>
        <x14:conditionalFormatting xmlns:xm="http://schemas.microsoft.com/office/excel/2006/main">
          <x14:cfRule type="expression" priority="6" id="{0EC32098-1D36-417F-9541-D3D9E61CC4A2}">
            <xm:f>'TC1'!#REF!="Speak"</xm:f>
            <x14:dxf>
              <font>
                <b/>
                <i val="0"/>
                <color rgb="FFFF0000"/>
              </font>
            </x14:dxf>
          </x14:cfRule>
          <xm:sqref>C16</xm:sqref>
        </x14:conditionalFormatting>
        <x14:conditionalFormatting xmlns:xm="http://schemas.microsoft.com/office/excel/2006/main">
          <x14:cfRule type="expression" priority="1" id="{29D9655D-9F24-4F8A-BB2A-73F85F7534E1}">
            <xm:f>'TC1'!#REF!="HANGUP"</xm:f>
            <x14:dxf>
              <font>
                <b/>
                <i val="0"/>
              </font>
            </x14:dxf>
          </x14:cfRule>
          <x14:cfRule type="expression" priority="2" id="{4BBFCE98-7BC2-47BF-A6B7-8A556CDC422A}">
            <xm:f>'TC1'!#REF!="Dial"</xm:f>
            <x14:dxf>
              <font>
                <b/>
                <i val="0"/>
                <color rgb="FFFF0000"/>
              </font>
            </x14:dxf>
          </x14:cfRule>
          <xm:sqref>C18</xm:sqref>
        </x14:conditionalFormatting>
        <x14:conditionalFormatting xmlns:xm="http://schemas.microsoft.com/office/excel/2006/main">
          <x14:cfRule type="expression" priority="3" id="{9AC54B2A-D97C-4269-B252-E675E15DD559}">
            <xm:f>'TC1'!#REF!="Speak"</xm:f>
            <x14:dxf>
              <font>
                <b/>
                <i val="0"/>
                <color rgb="FFFF0000"/>
              </font>
            </x14:dxf>
          </x14:cfRule>
          <xm:sqref>C18</xm:sqref>
        </x14:conditionalFormatting>
      </x14:conditionalFormattings>
    </ext>
  </extLst>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codeName="Sheet100"/>
  <dimension ref="A1:E40"/>
  <sheetViews>
    <sheetView zoomScaleNormal="100" workbookViewId="0">
      <selection activeCell="C5" sqref="C5"/>
    </sheetView>
  </sheetViews>
  <sheetFormatPr defaultRowHeight="15"/>
  <cols>
    <col min="1" max="1" width="14.42578125" style="93" bestFit="1" customWidth="1"/>
    <col min="2" max="2" width="42.7109375" style="93" customWidth="1"/>
    <col min="3" max="3" width="106.28515625" style="94" customWidth="1"/>
    <col min="4" max="4" width="21.7109375" style="107" bestFit="1" customWidth="1"/>
    <col min="5" max="5" width="20.7109375" style="93" customWidth="1"/>
  </cols>
  <sheetData>
    <row r="1" spans="1:5" ht="18.75">
      <c r="A1" s="197" t="s">
        <v>4</v>
      </c>
      <c r="B1" s="197"/>
      <c r="C1" s="101"/>
    </row>
    <row r="2" spans="1:5">
      <c r="A2" s="102" t="s">
        <v>5</v>
      </c>
      <c r="B2" s="103" t="str">
        <f ca="1">MID(CELL("filename",A1),FIND("]",CELL("filename",A1))+1,LEN(CELL("filename",A1))-FIND("]",CELL("filename",A1)))</f>
        <v>TC98</v>
      </c>
    </row>
    <row r="3" spans="1:5">
      <c r="A3" s="100" t="s">
        <v>19</v>
      </c>
      <c r="B3" s="108">
        <f ca="1">VLOOKUP(B2,Table53[#All],2,FALSE)</f>
        <v>0</v>
      </c>
    </row>
    <row r="4" spans="1:5" ht="45">
      <c r="A4" s="109" t="s">
        <v>20</v>
      </c>
      <c r="B4" s="95" t="str">
        <f ca="1">VLOOKUP(B2,Table53[#All],4,FALSE)</f>
        <v>svcArea=titleSvcs, serviceType=chgOwner, Not in progress or complete &lt;90days. 325-W-DF-A</v>
      </c>
      <c r="C4" s="94" t="s">
        <v>257</v>
      </c>
    </row>
    <row r="5" spans="1:5" ht="45">
      <c r="A5" s="100" t="s">
        <v>6</v>
      </c>
      <c r="B5" s="75" t="str">
        <f ca="1">VLOOKUP(B2,Table53[#All],3,FALSE)</f>
        <v xml:space="preserve">CallStart Main Menu /Title /Ownership changes/ID Auth=True/ add owner at ChangeMenu/HU after hearing peg 0330 </v>
      </c>
    </row>
    <row r="7" spans="1:5" ht="15.75">
      <c r="A7" s="96" t="s">
        <v>7</v>
      </c>
      <c r="B7" s="97" t="s">
        <v>8</v>
      </c>
      <c r="C7" s="98" t="s">
        <v>9</v>
      </c>
      <c r="D7" s="98" t="s">
        <v>14</v>
      </c>
      <c r="E7" s="99" t="s">
        <v>10</v>
      </c>
    </row>
    <row r="8" spans="1:5">
      <c r="A8" s="114">
        <v>1</v>
      </c>
      <c r="B8" s="110" t="s">
        <v>114</v>
      </c>
      <c r="C8" s="105" t="s">
        <v>125</v>
      </c>
      <c r="D8" s="125"/>
      <c r="E8" s="122" t="s">
        <v>11</v>
      </c>
    </row>
    <row r="9" spans="1:5" s="93" customFormat="1">
      <c r="A9" s="114">
        <v>2</v>
      </c>
      <c r="B9" s="110" t="s">
        <v>115</v>
      </c>
      <c r="C9" s="105" t="str">
        <f>VLOOKUP(Table25751990[[#This Row],[PEG]],Table1016[#All],2,FALSE)</f>
        <v>CallID.wav Call ID &lt;CallID&gt;</v>
      </c>
      <c r="D9" s="152" t="s">
        <v>477</v>
      </c>
      <c r="E9" s="122" t="str">
        <f>VLOOKUP(Table25751990[[#This Row],[PEG]],Table1016[#All],3,FALSE)</f>
        <v>TEST</v>
      </c>
    </row>
    <row r="10" spans="1:5" s="93" customFormat="1" ht="30">
      <c r="A10" s="114">
        <v>3</v>
      </c>
      <c r="B10" s="110" t="s">
        <v>115</v>
      </c>
      <c r="C10" s="105" t="str">
        <f>VLOOKUP(Table25751990[[#This Row],[PEG]],Table1016[#All],2,FALSE)</f>
        <v>0100.wav Thank you for calling Shell vacations Club, we are glad you called. Please have your account number available for faster service. [To continue in Spanish, press 9]</v>
      </c>
      <c r="D10" s="152">
        <v>100</v>
      </c>
      <c r="E10" s="122" t="str">
        <f>VLOOKUP(Table25751990[[#This Row],[PEG]],Table1016[#All],3,FALSE)</f>
        <v>PLAY PROMPT</v>
      </c>
    </row>
    <row r="11" spans="1:5" s="93" customFormat="1" ht="30">
      <c r="A11" s="114">
        <v>4</v>
      </c>
      <c r="B11" s="110" t="s">
        <v>115</v>
      </c>
      <c r="C11" s="105" t="str">
        <f>VLOOKUP(Table25751990[[#This Row],[PEG]],Table1016[#All],2,FALSE)</f>
        <v>0110-1.wav Which would you like? You can say... reservations, payments &amp; statements, title &amp; ownership changes, or more options.</v>
      </c>
      <c r="D11" s="152">
        <v>110</v>
      </c>
      <c r="E11" s="122" t="str">
        <f>VLOOKUP(Table25751990[[#This Row],[PEG]],Table1016[#All],3,FALSE)</f>
        <v>MENU PROMPT</v>
      </c>
    </row>
    <row r="12" spans="1:5" s="93" customFormat="1">
      <c r="A12" s="114">
        <v>5</v>
      </c>
      <c r="B12" s="110" t="s">
        <v>124</v>
      </c>
      <c r="C12" s="151" t="s">
        <v>486</v>
      </c>
      <c r="D12" s="152"/>
      <c r="E12" s="122" t="e">
        <f>VLOOKUP(Table25751990[[#This Row],[PEG]],Table1016[#All],3,FALSE)</f>
        <v>#N/A</v>
      </c>
    </row>
    <row r="13" spans="1:5" s="93" customFormat="1" ht="30">
      <c r="A13" s="114">
        <v>6</v>
      </c>
      <c r="B13" s="110" t="s">
        <v>115</v>
      </c>
      <c r="C13" s="105" t="str">
        <f>VLOOKUP(Table25751990[[#This Row],[PEG]],Table1016[#All],2,FALSE)</f>
        <v>0300-1.wav You can say ownership changes, check status, make a payment, or help me with something else. Which would you like?</v>
      </c>
      <c r="D13" s="152">
        <v>300</v>
      </c>
      <c r="E13" s="122" t="str">
        <f>VLOOKUP(Table25751990[[#This Row],[PEG]],Table1016[#All],3,FALSE)</f>
        <v>MENU PROMPT</v>
      </c>
    </row>
    <row r="14" spans="1:5" s="93" customFormat="1">
      <c r="A14" s="114">
        <v>7</v>
      </c>
      <c r="B14" s="110" t="s">
        <v>124</v>
      </c>
      <c r="C14" s="151" t="s">
        <v>527</v>
      </c>
      <c r="D14" s="125"/>
      <c r="E14" s="122" t="e">
        <f>VLOOKUP(Table25751990[[#This Row],[PEG]],Table1016[#All],3,FALSE)</f>
        <v>#N/A</v>
      </c>
    </row>
    <row r="15" spans="1:5">
      <c r="A15" s="114">
        <v>8</v>
      </c>
      <c r="B15" s="110" t="s">
        <v>115</v>
      </c>
      <c r="C15" s="105" t="str">
        <f>VLOOKUP(Table25751990[[#This Row],[PEG]],Table1016[#All],2,FALSE)</f>
        <v>0200-1.wav To get started, what is your account number?</v>
      </c>
      <c r="D15" s="153">
        <v>200</v>
      </c>
      <c r="E15" s="122" t="str">
        <f>VLOOKUP(Table25751990[[#This Row],[PEG]],Table1016[#All],3,FALSE)</f>
        <v>MENU PROMPT</v>
      </c>
    </row>
    <row r="16" spans="1:5">
      <c r="A16" s="114">
        <v>9</v>
      </c>
      <c r="B16" s="110" t="s">
        <v>114</v>
      </c>
      <c r="C16" s="151" t="s">
        <v>515</v>
      </c>
      <c r="D16" s="112"/>
      <c r="E16" s="122" t="e">
        <f>VLOOKUP(Table25751990[[#This Row],[PEG]],Table1016[#All],3,FALSE)</f>
        <v>#N/A</v>
      </c>
    </row>
    <row r="17" spans="1:5">
      <c r="A17" s="114">
        <v>10</v>
      </c>
      <c r="B17" s="110" t="s">
        <v>115</v>
      </c>
      <c r="C17" s="105" t="str">
        <f>VLOOKUP(Table25751990[[#This Row],[PEG]],Table1016[#All],2,FALSE)</f>
        <v>0210-1.wav And the date of birth for the primary owner?</v>
      </c>
      <c r="D17" s="154">
        <v>210</v>
      </c>
      <c r="E17" s="122" t="str">
        <f>VLOOKUP(Table25751990[[#This Row],[PEG]],Table1016[#All],3,FALSE)</f>
        <v>MENU PROMPT</v>
      </c>
    </row>
    <row r="18" spans="1:5">
      <c r="A18" s="114">
        <v>11</v>
      </c>
      <c r="B18" s="110" t="s">
        <v>124</v>
      </c>
      <c r="C18" s="151" t="s">
        <v>524</v>
      </c>
      <c r="D18" s="113"/>
      <c r="E18" s="122" t="e">
        <f>VLOOKUP(Table25751990[[#This Row],[PEG]],Table1016[#All],3,FALSE)</f>
        <v>#N/A</v>
      </c>
    </row>
    <row r="19" spans="1:5" ht="45">
      <c r="A19" s="114">
        <v>12</v>
      </c>
      <c r="B19" s="110" t="s">
        <v>115</v>
      </c>
      <c r="C19" s="105" t="str">
        <f>VLOOKUP(Table25751990[[#This Row],[PEG]],Table1016[#All],2,FALSE)</f>
        <v>0320-1.wav I can help you add an owner, remove an owner, change your name, transfer ownership to somone else, or place ownership into your trust or company. Which would you like? &lt;pause&gt; To hear theses options again, say repeat that. If you would like to speak with someone, say representative.</v>
      </c>
      <c r="D19" s="154">
        <v>320</v>
      </c>
      <c r="E19" s="122" t="str">
        <f>VLOOKUP(Table25751990[[#This Row],[PEG]],Table1016[#All],3,FALSE)</f>
        <v>MENU PROMPT</v>
      </c>
    </row>
    <row r="20" spans="1:5">
      <c r="A20" s="114">
        <v>13</v>
      </c>
      <c r="B20" s="110" t="s">
        <v>124</v>
      </c>
      <c r="C20" s="151" t="s">
        <v>529</v>
      </c>
      <c r="D20" s="113"/>
      <c r="E20" s="122" t="e">
        <f>VLOOKUP(Table25751990[[#This Row],[PEG]],Table1016[#All],3,FALSE)</f>
        <v>#N/A</v>
      </c>
    </row>
    <row r="21" spans="1:5" ht="75">
      <c r="A21" s="114">
        <v>14</v>
      </c>
      <c r="B21" s="110" t="s">
        <v>115</v>
      </c>
      <c r="C21" s="105" t="str">
        <f>VLOOKUP(Table25751990[[#This Row],[PEG]],Table1016[#All],2,FALSE)</f>
        <v>Wyndham requires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Worldmark Ownership Change.</v>
      </c>
      <c r="D21" s="94" t="s">
        <v>257</v>
      </c>
      <c r="E21" s="122" t="str">
        <f>VLOOKUP(Table25751990[[#This Row],[PEG]],Table1016[#All],3,FALSE)</f>
        <v>PLAY PROMPT</v>
      </c>
    </row>
    <row r="22" spans="1:5" ht="30">
      <c r="A22" s="114">
        <v>15</v>
      </c>
      <c r="B22" s="110" t="s">
        <v>115</v>
      </c>
      <c r="C22" s="105" t="str">
        <f>VLOOKUP(Table25751990[[#This Row],[PEG]],Table1016[#All],2,FALSE)</f>
        <v>0330-1.wav To hear this information again, say repeat that. If you would like me to send you a letter with instructions to start the process, say information letter.</v>
      </c>
      <c r="D22" s="154">
        <v>330</v>
      </c>
      <c r="E22" s="122" t="str">
        <f>VLOOKUP(Table25751990[[#This Row],[PEG]],Table1016[#All],3,FALSE)</f>
        <v>MENU PROMPT</v>
      </c>
    </row>
    <row r="23" spans="1:5">
      <c r="A23" s="114">
        <v>16</v>
      </c>
      <c r="B23" s="110" t="s">
        <v>13</v>
      </c>
      <c r="C23" s="17" t="s">
        <v>13</v>
      </c>
      <c r="D23" s="111"/>
      <c r="E23" s="31"/>
    </row>
    <row r="24" spans="1:5">
      <c r="C24" s="25"/>
    </row>
    <row r="25" spans="1:5">
      <c r="C25" s="25"/>
    </row>
    <row r="26" spans="1:5">
      <c r="C26" s="25"/>
    </row>
    <row r="27" spans="1:5">
      <c r="C27" s="25"/>
    </row>
    <row r="28" spans="1:5">
      <c r="C28" s="25"/>
    </row>
    <row r="29" spans="1:5">
      <c r="C29" s="25"/>
    </row>
    <row r="30" spans="1:5">
      <c r="C30" s="25"/>
    </row>
    <row r="31" spans="1:5">
      <c r="C31" s="25"/>
    </row>
    <row r="32" spans="1:5">
      <c r="C32" s="25"/>
    </row>
    <row r="33" spans="3:3">
      <c r="C33" s="25"/>
    </row>
    <row r="34" spans="3:3">
      <c r="C34" s="25"/>
    </row>
    <row r="35" spans="3:3">
      <c r="C35" s="25"/>
    </row>
    <row r="36" spans="3:3">
      <c r="C36" s="25"/>
    </row>
    <row r="37" spans="3:3">
      <c r="C37" s="25"/>
    </row>
    <row r="38" spans="3:3">
      <c r="C38" s="26"/>
    </row>
    <row r="39" spans="3:3">
      <c r="C39" s="26"/>
    </row>
    <row r="40" spans="3:3">
      <c r="C40" s="26"/>
    </row>
  </sheetData>
  <mergeCells count="1">
    <mergeCell ref="A1:B1"/>
  </mergeCells>
  <conditionalFormatting sqref="C24:C9979">
    <cfRule type="expression" dxfId="3230" priority="67">
      <formula>$B24="Dial"</formula>
    </cfRule>
    <cfRule type="expression" dxfId="3229" priority="69">
      <formula>$B24="HANGUP"</formula>
    </cfRule>
  </conditionalFormatting>
  <conditionalFormatting sqref="B23">
    <cfRule type="containsText" dxfId="3228" priority="19" operator="containsText" text="Hear">
      <formula>NOT(ISERROR(SEARCH("Hear",B23)))</formula>
    </cfRule>
  </conditionalFormatting>
  <conditionalFormatting sqref="E23">
    <cfRule type="containsText" dxfId="3227" priority="27" operator="containsText" text="WEB SERVICE">
      <formula>NOT(ISERROR(SEARCH("WEB SERVICE",E23)))</formula>
    </cfRule>
    <cfRule type="containsText" dxfId="3226" priority="28" operator="containsText" text="DB">
      <formula>NOT(ISERROR(SEARCH("DB",E23)))</formula>
    </cfRule>
  </conditionalFormatting>
  <conditionalFormatting sqref="C23">
    <cfRule type="expression" dxfId="3225" priority="30">
      <formula>$B23="Dial"</formula>
    </cfRule>
    <cfRule type="expression" dxfId="3224" priority="32">
      <formula>$B23="HANGUP"</formula>
    </cfRule>
  </conditionalFormatting>
  <conditionalFormatting sqref="C23">
    <cfRule type="expression" dxfId="3223" priority="31">
      <formula>$B23="Speak"</formula>
    </cfRule>
  </conditionalFormatting>
  <conditionalFormatting sqref="B8">
    <cfRule type="containsText" dxfId="3222" priority="16" operator="containsText" text="Hear">
      <formula>NOT(ISERROR(SEARCH("Hear",B8)))</formula>
    </cfRule>
  </conditionalFormatting>
  <conditionalFormatting sqref="B20:B22">
    <cfRule type="containsText" dxfId="3221" priority="15" operator="containsText" text="Hear">
      <formula>NOT(ISERROR(SEARCH("Hear",B20)))</formula>
    </cfRule>
  </conditionalFormatting>
  <conditionalFormatting sqref="B18:B19">
    <cfRule type="containsText" dxfId="3220" priority="14" operator="containsText" text="Hear">
      <formula>NOT(ISERROR(SEARCH("Hear",B18)))</formula>
    </cfRule>
  </conditionalFormatting>
  <conditionalFormatting sqref="B9:B17">
    <cfRule type="containsText" dxfId="3219" priority="13" operator="containsText" text="Hear">
      <formula>NOT(ISERROR(SEARCH("Hear",B9)))</formula>
    </cfRule>
  </conditionalFormatting>
  <hyperlinks>
    <hyperlink ref="A1" location="'Test Case Overview'!A1" display="Return to Test Case Overview" xr:uid="{00000000-0004-0000-62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3" id="{37653EE3-FD6E-4D1F-BE4C-AA18E3214FD0}">
            <xm:f>'TC1'!$B8="HANGUP"</xm:f>
            <x14:dxf>
              <font>
                <b/>
                <i val="0"/>
              </font>
            </x14:dxf>
          </x14:cfRule>
          <x14:cfRule type="expression" priority="24" id="{4CB0FFDF-E61D-492D-893A-E6C7F6EAAAE6}">
            <xm:f>'TC1'!$B8="Dial"</xm:f>
            <x14:dxf>
              <font>
                <b/>
                <i val="0"/>
                <color rgb="FFFF0000"/>
              </font>
            </x14:dxf>
          </x14:cfRule>
          <xm:sqref>C8</xm:sqref>
        </x14:conditionalFormatting>
        <x14:conditionalFormatting xmlns:xm="http://schemas.microsoft.com/office/excel/2006/main">
          <x14:cfRule type="expression" priority="25" id="{14D69D46-0421-4C1F-8679-AA35C2BD6F53}">
            <xm:f>'TC1'!$B8="Speak"</xm:f>
            <x14:dxf>
              <font>
                <b/>
                <i val="0"/>
                <color rgb="FFFF0000"/>
              </font>
            </x14:dxf>
          </x14:cfRule>
          <xm:sqref>C8</xm:sqref>
        </x14:conditionalFormatting>
        <x14:conditionalFormatting xmlns:xm="http://schemas.microsoft.com/office/excel/2006/main">
          <x14:cfRule type="containsText" priority="22" operator="containsText" text="DB" id="{774CA659-90CC-4220-B89A-AFC50E89CB87}">
            <xm:f>NOT(ISERROR(SEARCH("DB",'TC1'!E10)))</xm:f>
            <x14:dxf>
              <font>
                <color rgb="FF006100"/>
              </font>
              <fill>
                <patternFill>
                  <bgColor rgb="FFC6EFCE"/>
                </patternFill>
              </fill>
            </x14:dxf>
          </x14:cfRule>
          <x14:cfRule type="containsText" priority="26" operator="containsText" text="WEB SERVICE" id="{6F7DEF2E-088D-4FFD-B38B-972E1042D64F}">
            <xm:f>NOT(ISERROR(SEARCH("WEB SERVICE",'TC1'!E10)))</xm:f>
            <x14:dxf>
              <font>
                <color rgb="FF9C0006"/>
              </font>
              <fill>
                <patternFill>
                  <bgColor rgb="FFFFC7CE"/>
                </patternFill>
              </fill>
            </x14:dxf>
          </x14:cfRule>
          <xm:sqref>E9:E12</xm:sqref>
        </x14:conditionalFormatting>
        <x14:conditionalFormatting xmlns:xm="http://schemas.microsoft.com/office/excel/2006/main">
          <x14:cfRule type="expression" priority="2243" id="{37653EE3-FD6E-4D1F-BE4C-AA18E3214FD0}">
            <xm:f>'TC1'!#REF!="HANGUP"</xm:f>
            <x14:dxf>
              <font>
                <b/>
                <i val="0"/>
              </font>
            </x14:dxf>
          </x14:cfRule>
          <x14:cfRule type="expression" priority="2244" id="{4CB0FFDF-E61D-492D-893A-E6C7F6EAAAE6}">
            <xm:f>'TC1'!#REF!="Dial"</xm:f>
            <x14:dxf>
              <font>
                <b/>
                <i val="0"/>
                <color rgb="FFFF0000"/>
              </font>
            </x14:dxf>
          </x14:cfRule>
          <xm:sqref>C13 C15 C17 C19:C22</xm:sqref>
        </x14:conditionalFormatting>
        <x14:conditionalFormatting xmlns:xm="http://schemas.microsoft.com/office/excel/2006/main">
          <x14:cfRule type="expression" priority="2249" id="{14D69D46-0421-4C1F-8679-AA35C2BD6F53}">
            <xm:f>'TC1'!#REF!="Speak"</xm:f>
            <x14:dxf>
              <font>
                <b/>
                <i val="0"/>
                <color rgb="FFFF0000"/>
              </font>
            </x14:dxf>
          </x14:cfRule>
          <xm:sqref>C13 C15 C17 C19:C22</xm:sqref>
        </x14:conditionalFormatting>
        <x14:conditionalFormatting xmlns:xm="http://schemas.microsoft.com/office/excel/2006/main">
          <x14:cfRule type="containsText" priority="2255" operator="containsText" text="DB" id="{774CA659-90CC-4220-B89A-AFC50E89CB87}">
            <xm:f>NOT(ISERROR(SEARCH("DB",'TC1'!#REF!)))</xm:f>
            <x14:dxf>
              <font>
                <color rgb="FF006100"/>
              </font>
              <fill>
                <patternFill>
                  <bgColor rgb="FFC6EFCE"/>
                </patternFill>
              </fill>
            </x14:dxf>
          </x14:cfRule>
          <x14:cfRule type="containsText" priority="2256" operator="containsText" text="WEB SERVICE" id="{6F7DEF2E-088D-4FFD-B38B-972E1042D64F}">
            <xm:f>NOT(ISERROR(SEARCH("WEB SERVICE",'TC1'!#REF!)))</xm:f>
            <x14:dxf>
              <font>
                <color rgb="FF9C0006"/>
              </font>
              <fill>
                <patternFill>
                  <bgColor rgb="FFFFC7CE"/>
                </patternFill>
              </fill>
            </x14:dxf>
          </x14:cfRule>
          <xm:sqref>E13:E22</xm:sqref>
        </x14:conditionalFormatting>
        <x14:conditionalFormatting xmlns:xm="http://schemas.microsoft.com/office/excel/2006/main">
          <x14:cfRule type="expression" priority="4157" id="{37653EE3-FD6E-4D1F-BE4C-AA18E3214FD0}">
            <xm:f>'TC1'!$B10="HANGUP"</xm:f>
            <x14:dxf>
              <font>
                <b/>
                <i val="0"/>
              </font>
            </x14:dxf>
          </x14:cfRule>
          <x14:cfRule type="expression" priority="4158" id="{4CB0FFDF-E61D-492D-893A-E6C7F6EAAAE6}">
            <xm:f>'TC1'!$B10="Dial"</xm:f>
            <x14:dxf>
              <font>
                <b/>
                <i val="0"/>
                <color rgb="FFFF0000"/>
              </font>
            </x14:dxf>
          </x14:cfRule>
          <xm:sqref>C9:C11</xm:sqref>
        </x14:conditionalFormatting>
        <x14:conditionalFormatting xmlns:xm="http://schemas.microsoft.com/office/excel/2006/main">
          <x14:cfRule type="expression" priority="4160" id="{14D69D46-0421-4C1F-8679-AA35C2BD6F53}">
            <xm:f>'TC1'!$B10="Speak"</xm:f>
            <x14:dxf>
              <font>
                <b/>
                <i val="0"/>
                <color rgb="FFFF0000"/>
              </font>
            </x14:dxf>
          </x14:cfRule>
          <xm:sqref>C9:C11</xm:sqref>
        </x14:conditionalFormatting>
        <x14:conditionalFormatting xmlns:xm="http://schemas.microsoft.com/office/excel/2006/main">
          <x14:cfRule type="expression" priority="10" id="{C29D607F-1C4F-4B74-874F-E9D8EDCA81EA}">
            <xm:f>'TC1'!#REF!="HANGUP"</xm:f>
            <x14:dxf>
              <font>
                <b/>
                <i val="0"/>
              </font>
            </x14:dxf>
          </x14:cfRule>
          <x14:cfRule type="expression" priority="11" id="{81CCBB88-0519-480E-9771-DC9B954DB49A}">
            <xm:f>'TC1'!#REF!="Dial"</xm:f>
            <x14:dxf>
              <font>
                <b/>
                <i val="0"/>
                <color rgb="FFFF0000"/>
              </font>
            </x14:dxf>
          </x14:cfRule>
          <xm:sqref>C12</xm:sqref>
        </x14:conditionalFormatting>
        <x14:conditionalFormatting xmlns:xm="http://schemas.microsoft.com/office/excel/2006/main">
          <x14:cfRule type="expression" priority="12" id="{9F8256A9-3F23-4B06-82DB-046EFED05C11}">
            <xm:f>'TC1'!#REF!="Speak"</xm:f>
            <x14:dxf>
              <font>
                <b/>
                <i val="0"/>
                <color rgb="FFFF0000"/>
              </font>
            </x14:dxf>
          </x14:cfRule>
          <xm:sqref>C12</xm:sqref>
        </x14:conditionalFormatting>
        <x14:conditionalFormatting xmlns:xm="http://schemas.microsoft.com/office/excel/2006/main">
          <x14:cfRule type="expression" priority="7" id="{6C3D717E-7DCF-47BE-AF36-D70AD5B53941}">
            <xm:f>'TC1'!#REF!="HANGUP"</xm:f>
            <x14:dxf>
              <font>
                <b/>
                <i val="0"/>
              </font>
            </x14:dxf>
          </x14:cfRule>
          <x14:cfRule type="expression" priority="8" id="{3E86CAED-9A39-4E54-8C59-2992F77DE69D}">
            <xm:f>'TC1'!#REF!="Dial"</xm:f>
            <x14:dxf>
              <font>
                <b/>
                <i val="0"/>
                <color rgb="FFFF0000"/>
              </font>
            </x14:dxf>
          </x14:cfRule>
          <xm:sqref>C14</xm:sqref>
        </x14:conditionalFormatting>
        <x14:conditionalFormatting xmlns:xm="http://schemas.microsoft.com/office/excel/2006/main">
          <x14:cfRule type="expression" priority="9" id="{058D7C2B-D93E-423F-B79B-66621A8738E5}">
            <xm:f>'TC1'!#REF!="Speak"</xm:f>
            <x14:dxf>
              <font>
                <b/>
                <i val="0"/>
                <color rgb="FFFF0000"/>
              </font>
            </x14:dxf>
          </x14:cfRule>
          <xm:sqref>C14</xm:sqref>
        </x14:conditionalFormatting>
        <x14:conditionalFormatting xmlns:xm="http://schemas.microsoft.com/office/excel/2006/main">
          <x14:cfRule type="expression" priority="4" id="{67034847-2A49-4F82-9A7E-336B811C9FEE}">
            <xm:f>'TC1'!#REF!="HANGUP"</xm:f>
            <x14:dxf>
              <font>
                <b/>
                <i val="0"/>
              </font>
            </x14:dxf>
          </x14:cfRule>
          <x14:cfRule type="expression" priority="5" id="{3314A9A3-9617-4C94-975D-5433B6A04F62}">
            <xm:f>'TC1'!#REF!="Dial"</xm:f>
            <x14:dxf>
              <font>
                <b/>
                <i val="0"/>
                <color rgb="FFFF0000"/>
              </font>
            </x14:dxf>
          </x14:cfRule>
          <xm:sqref>C16</xm:sqref>
        </x14:conditionalFormatting>
        <x14:conditionalFormatting xmlns:xm="http://schemas.microsoft.com/office/excel/2006/main">
          <x14:cfRule type="expression" priority="6" id="{BD1F47D0-06D3-4EC7-B93C-32629ED8ABF2}">
            <xm:f>'TC1'!#REF!="Speak"</xm:f>
            <x14:dxf>
              <font>
                <b/>
                <i val="0"/>
                <color rgb="FFFF0000"/>
              </font>
            </x14:dxf>
          </x14:cfRule>
          <xm:sqref>C16</xm:sqref>
        </x14:conditionalFormatting>
        <x14:conditionalFormatting xmlns:xm="http://schemas.microsoft.com/office/excel/2006/main">
          <x14:cfRule type="expression" priority="1" id="{59E77DAB-0B53-4AE2-93E9-60F3D2A798D1}">
            <xm:f>'TC1'!#REF!="HANGUP"</xm:f>
            <x14:dxf>
              <font>
                <b/>
                <i val="0"/>
              </font>
            </x14:dxf>
          </x14:cfRule>
          <x14:cfRule type="expression" priority="2" id="{97968D0A-6824-44D1-B7F8-A2E2099EE53E}">
            <xm:f>'TC1'!#REF!="Dial"</xm:f>
            <x14:dxf>
              <font>
                <b/>
                <i val="0"/>
                <color rgb="FFFF0000"/>
              </font>
            </x14:dxf>
          </x14:cfRule>
          <xm:sqref>C18</xm:sqref>
        </x14:conditionalFormatting>
        <x14:conditionalFormatting xmlns:xm="http://schemas.microsoft.com/office/excel/2006/main">
          <x14:cfRule type="expression" priority="3" id="{E6E1100D-80DD-45C9-AC24-6618B5FF3374}">
            <xm:f>'TC1'!#REF!="Speak"</xm:f>
            <x14:dxf>
              <font>
                <b/>
                <i val="0"/>
                <color rgb="FFFF0000"/>
              </font>
            </x14:dxf>
          </x14:cfRule>
          <xm:sqref>C18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205</vt:i4>
      </vt:variant>
      <vt:variant>
        <vt:lpstr>Named Ranges</vt:lpstr>
      </vt:variant>
      <vt:variant>
        <vt:i4>8</vt:i4>
      </vt:variant>
    </vt:vector>
  </HeadingPairs>
  <TitlesOfParts>
    <vt:vector size="213" baseType="lpstr">
      <vt:lpstr>Test Case Overview</vt:lpstr>
      <vt:lpstr>TC1</vt:lpstr>
      <vt:lpstr>TC2</vt:lpstr>
      <vt:lpstr>TC3</vt:lpstr>
      <vt:lpstr>TC4</vt:lpstr>
      <vt:lpstr>TC5</vt:lpstr>
      <vt:lpstr>TC6</vt:lpstr>
      <vt:lpstr>TC7</vt:lpstr>
      <vt:lpstr>TC8</vt:lpstr>
      <vt:lpstr>TC9</vt:lpstr>
      <vt:lpstr>TC10</vt:lpstr>
      <vt:lpstr>TC11</vt:lpstr>
      <vt:lpstr>TC12</vt:lpstr>
      <vt:lpstr>TC13</vt:lpstr>
      <vt:lpstr>TC14</vt:lpstr>
      <vt:lpstr>TC15</vt:lpstr>
      <vt:lpstr>TC16</vt:lpstr>
      <vt:lpstr>TC17</vt:lpstr>
      <vt:lpstr>TC18</vt:lpstr>
      <vt:lpstr>TC19</vt:lpstr>
      <vt:lpstr>TC20</vt:lpstr>
      <vt:lpstr>TC21</vt:lpstr>
      <vt:lpstr>TC22</vt:lpstr>
      <vt:lpstr>TC23</vt:lpstr>
      <vt:lpstr>TC24</vt:lpstr>
      <vt:lpstr>TC25</vt:lpstr>
      <vt:lpstr>TC26</vt:lpstr>
      <vt:lpstr>TC27</vt:lpstr>
      <vt:lpstr>TC28</vt:lpstr>
      <vt:lpstr>TC29</vt:lpstr>
      <vt:lpstr>TC30</vt:lpstr>
      <vt:lpstr>TC31</vt:lpstr>
      <vt:lpstr>TC32</vt:lpstr>
      <vt:lpstr>TC33</vt:lpstr>
      <vt:lpstr>TC34</vt:lpstr>
      <vt:lpstr>TC35</vt:lpstr>
      <vt:lpstr>TC36</vt:lpstr>
      <vt:lpstr>TC37</vt:lpstr>
      <vt:lpstr>TC38</vt:lpstr>
      <vt:lpstr>TC39</vt:lpstr>
      <vt:lpstr>TC40</vt:lpstr>
      <vt:lpstr>TC41</vt:lpstr>
      <vt:lpstr>TC42</vt:lpstr>
      <vt:lpstr>TC43</vt:lpstr>
      <vt:lpstr>TC44</vt:lpstr>
      <vt:lpstr>TC45</vt:lpstr>
      <vt:lpstr>TC46</vt:lpstr>
      <vt:lpstr>TC47</vt:lpstr>
      <vt:lpstr>TC48</vt:lpstr>
      <vt:lpstr>TC49</vt:lpstr>
      <vt:lpstr>TC50</vt:lpstr>
      <vt:lpstr>TC51</vt:lpstr>
      <vt:lpstr>TC52</vt:lpstr>
      <vt:lpstr>TC53</vt:lpstr>
      <vt:lpstr>TC54</vt:lpstr>
      <vt:lpstr>TC55</vt:lpstr>
      <vt:lpstr>TC56</vt:lpstr>
      <vt:lpstr>TC57</vt:lpstr>
      <vt:lpstr>TC58</vt:lpstr>
      <vt:lpstr>TC59</vt:lpstr>
      <vt:lpstr>TC60</vt:lpstr>
      <vt:lpstr>TC61</vt:lpstr>
      <vt:lpstr>TC62</vt:lpstr>
      <vt:lpstr>TC63</vt:lpstr>
      <vt:lpstr>TC64</vt:lpstr>
      <vt:lpstr>TC65</vt:lpstr>
      <vt:lpstr>TC66</vt:lpstr>
      <vt:lpstr>TC67</vt:lpstr>
      <vt:lpstr>TC68</vt:lpstr>
      <vt:lpstr>TC69</vt:lpstr>
      <vt:lpstr>TC70</vt:lpstr>
      <vt:lpstr>TC71</vt:lpstr>
      <vt:lpstr>TC72</vt:lpstr>
      <vt:lpstr>TC73</vt:lpstr>
      <vt:lpstr>TC74</vt:lpstr>
      <vt:lpstr>TC75</vt:lpstr>
      <vt:lpstr>TC76</vt:lpstr>
      <vt:lpstr>TC77</vt:lpstr>
      <vt:lpstr>TC78</vt:lpstr>
      <vt:lpstr>TC79</vt:lpstr>
      <vt:lpstr>TC80</vt:lpstr>
      <vt:lpstr>TC81</vt:lpstr>
      <vt:lpstr>TC82</vt:lpstr>
      <vt:lpstr>TC83</vt:lpstr>
      <vt:lpstr>TC84</vt:lpstr>
      <vt:lpstr>TC85</vt:lpstr>
      <vt:lpstr>TC86</vt:lpstr>
      <vt:lpstr>TC87</vt:lpstr>
      <vt:lpstr>TC88</vt:lpstr>
      <vt:lpstr>TC89</vt:lpstr>
      <vt:lpstr>TC90</vt:lpstr>
      <vt:lpstr>TC91</vt:lpstr>
      <vt:lpstr>TC92</vt:lpstr>
      <vt:lpstr>TC93</vt:lpstr>
      <vt:lpstr>TC94</vt:lpstr>
      <vt:lpstr>TC95</vt:lpstr>
      <vt:lpstr>TC96</vt:lpstr>
      <vt:lpstr>TC97</vt:lpstr>
      <vt:lpstr>TC98</vt:lpstr>
      <vt:lpstr>TC99</vt:lpstr>
      <vt:lpstr>TC100</vt:lpstr>
      <vt:lpstr>TC101</vt:lpstr>
      <vt:lpstr>TC102</vt:lpstr>
      <vt:lpstr>TC103</vt:lpstr>
      <vt:lpstr>TC104</vt:lpstr>
      <vt:lpstr>TC105</vt:lpstr>
      <vt:lpstr>TC106</vt:lpstr>
      <vt:lpstr>TC107</vt:lpstr>
      <vt:lpstr>TC108</vt:lpstr>
      <vt:lpstr>TC109</vt:lpstr>
      <vt:lpstr>TC110</vt:lpstr>
      <vt:lpstr>TC111</vt:lpstr>
      <vt:lpstr>TC112</vt:lpstr>
      <vt:lpstr>TC113</vt:lpstr>
      <vt:lpstr>TC114</vt:lpstr>
      <vt:lpstr>TC115</vt:lpstr>
      <vt:lpstr>TC116</vt:lpstr>
      <vt:lpstr>TC117</vt:lpstr>
      <vt:lpstr>TC118</vt:lpstr>
      <vt:lpstr>TC119</vt:lpstr>
      <vt:lpstr>TC120</vt:lpstr>
      <vt:lpstr>TC121</vt:lpstr>
      <vt:lpstr>TC122</vt:lpstr>
      <vt:lpstr>TC123</vt:lpstr>
      <vt:lpstr>TC124</vt:lpstr>
      <vt:lpstr>TC125</vt:lpstr>
      <vt:lpstr>TC126</vt:lpstr>
      <vt:lpstr>TC127</vt:lpstr>
      <vt:lpstr>TC128</vt:lpstr>
      <vt:lpstr>TC129</vt:lpstr>
      <vt:lpstr>TC130</vt:lpstr>
      <vt:lpstr>TC131</vt:lpstr>
      <vt:lpstr>TC132</vt:lpstr>
      <vt:lpstr>TC133</vt:lpstr>
      <vt:lpstr>TC134</vt:lpstr>
      <vt:lpstr>TC135</vt:lpstr>
      <vt:lpstr>TC136</vt:lpstr>
      <vt:lpstr>TC137</vt:lpstr>
      <vt:lpstr>TC138</vt:lpstr>
      <vt:lpstr>TC139</vt:lpstr>
      <vt:lpstr>TC140</vt:lpstr>
      <vt:lpstr>TC141</vt:lpstr>
      <vt:lpstr>TC142</vt:lpstr>
      <vt:lpstr>TC143</vt:lpstr>
      <vt:lpstr>TC144</vt:lpstr>
      <vt:lpstr>TC145</vt:lpstr>
      <vt:lpstr>TC146</vt:lpstr>
      <vt:lpstr>TC147</vt:lpstr>
      <vt:lpstr>TC148</vt:lpstr>
      <vt:lpstr>TC149</vt:lpstr>
      <vt:lpstr>TC150</vt:lpstr>
      <vt:lpstr>TC151</vt:lpstr>
      <vt:lpstr>TC152</vt:lpstr>
      <vt:lpstr>TC153</vt:lpstr>
      <vt:lpstr>TC154</vt:lpstr>
      <vt:lpstr>TC155</vt:lpstr>
      <vt:lpstr>TC156</vt:lpstr>
      <vt:lpstr>TC157</vt:lpstr>
      <vt:lpstr>TC158</vt:lpstr>
      <vt:lpstr>TC159</vt:lpstr>
      <vt:lpstr>TC160</vt:lpstr>
      <vt:lpstr>TC161</vt:lpstr>
      <vt:lpstr>TC162</vt:lpstr>
      <vt:lpstr>TC163</vt:lpstr>
      <vt:lpstr>TC164</vt:lpstr>
      <vt:lpstr>TC165</vt:lpstr>
      <vt:lpstr>TC166</vt:lpstr>
      <vt:lpstr>TC167</vt:lpstr>
      <vt:lpstr>TC168</vt:lpstr>
      <vt:lpstr>TC169</vt:lpstr>
      <vt:lpstr>TC170</vt:lpstr>
      <vt:lpstr>TC171</vt:lpstr>
      <vt:lpstr>TC172</vt:lpstr>
      <vt:lpstr>TC173</vt:lpstr>
      <vt:lpstr>TC174</vt:lpstr>
      <vt:lpstr>TC175</vt:lpstr>
      <vt:lpstr>TC176</vt:lpstr>
      <vt:lpstr>TC177</vt:lpstr>
      <vt:lpstr>TC178</vt:lpstr>
      <vt:lpstr>TC179</vt:lpstr>
      <vt:lpstr>TC180</vt:lpstr>
      <vt:lpstr>TC181</vt:lpstr>
      <vt:lpstr>TC182</vt:lpstr>
      <vt:lpstr>TC183</vt:lpstr>
      <vt:lpstr>TC184</vt:lpstr>
      <vt:lpstr>TC185</vt:lpstr>
      <vt:lpstr>TC186</vt:lpstr>
      <vt:lpstr>TC187</vt:lpstr>
      <vt:lpstr>TC188</vt:lpstr>
      <vt:lpstr>TC189</vt:lpstr>
      <vt:lpstr>TC190</vt:lpstr>
      <vt:lpstr>TC191</vt:lpstr>
      <vt:lpstr>TC192</vt:lpstr>
      <vt:lpstr>TC193</vt:lpstr>
      <vt:lpstr>TC194</vt:lpstr>
      <vt:lpstr>TC195</vt:lpstr>
      <vt:lpstr>TC196</vt:lpstr>
      <vt:lpstr>TC197</vt:lpstr>
      <vt:lpstr>TC198</vt:lpstr>
      <vt:lpstr>TC199</vt:lpstr>
      <vt:lpstr>TC200</vt:lpstr>
      <vt:lpstr>TC201</vt:lpstr>
      <vt:lpstr>TC202</vt:lpstr>
      <vt:lpstr>TC203</vt:lpstr>
      <vt:lpstr>PEG DICTIONARY</vt:lpstr>
      <vt:lpstr>'PEG DICTIONARY'!_Toc489362546</vt:lpstr>
      <vt:lpstr>'PEG DICTIONARY'!_Toc489362555</vt:lpstr>
      <vt:lpstr>'PEG DICTIONARY'!_Toc489362616</vt:lpstr>
      <vt:lpstr>'PEG DICTIONARY'!_Toc489362651</vt:lpstr>
      <vt:lpstr>'PEG DICTIONARY'!_Toc489362687</vt:lpstr>
      <vt:lpstr>'PEG DICTIONARY'!_Toc489362752</vt:lpstr>
      <vt:lpstr>'PEG DICTIONARY'!_Toc489362803</vt:lpstr>
      <vt:lpstr>Overview_Table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Payton</dc:creator>
  <cp:lastModifiedBy>Leo Prada</cp:lastModifiedBy>
  <dcterms:created xsi:type="dcterms:W3CDTF">2018-04-23T17:45:52Z</dcterms:created>
  <dcterms:modified xsi:type="dcterms:W3CDTF">2020-04-27T15:42:02Z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81bf77a5-4b3f-404f-b823-60014b5bfed1</vt:lpwstr>
  </property>
</Properties>
</file>